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5月" sheetId="1" r:id="rId1"/>
    <sheet name="Sheet2" sheetId="2" r:id="rId2"/>
    <sheet name="Sheet3" sheetId="3" r:id="rId3"/>
  </sheets>
  <definedNames/>
  <calcPr fullCalcOnLoad="1"/>
</workbook>
</file>

<file path=xl/sharedStrings.xml><?xml version="1.0" encoding="utf-8"?>
<sst xmlns="http://schemas.openxmlformats.org/spreadsheetml/2006/main" count="437" uniqueCount="255">
  <si>
    <t>伽师县2023年第一批巩固拓展脱贫攻坚成果和乡村振兴有效衔接项目台账</t>
  </si>
  <si>
    <t>序号</t>
  </si>
  <si>
    <t>项目库编号</t>
  </si>
  <si>
    <t>项目名称</t>
  </si>
  <si>
    <t>项目类别</t>
  </si>
  <si>
    <t>项目
子类型</t>
  </si>
  <si>
    <t>建设
性质</t>
  </si>
  <si>
    <t>实施地点</t>
  </si>
  <si>
    <t>主要建设内容</t>
  </si>
  <si>
    <t>建设
单位</t>
  </si>
  <si>
    <t>建设
规模</t>
  </si>
  <si>
    <t>项目主管
部门</t>
  </si>
  <si>
    <t>资金规模及来源（万元）</t>
  </si>
  <si>
    <t>5月支出计划</t>
  </si>
  <si>
    <t>支出情况</t>
  </si>
  <si>
    <t>累计支付</t>
  </si>
  <si>
    <t>支付率</t>
  </si>
  <si>
    <t>合计</t>
  </si>
  <si>
    <t>财政衔接资金</t>
  </si>
  <si>
    <t>其他涉农整合资金</t>
  </si>
  <si>
    <t>地方政府一般债券资金</t>
  </si>
  <si>
    <t>地县资金</t>
  </si>
  <si>
    <t>其他资金</t>
  </si>
  <si>
    <t>1月</t>
  </si>
  <si>
    <t>2月</t>
  </si>
  <si>
    <t>3月</t>
  </si>
  <si>
    <t>4月</t>
  </si>
  <si>
    <t>5月</t>
  </si>
  <si>
    <t>6月</t>
  </si>
  <si>
    <t>7月</t>
  </si>
  <si>
    <t>8月</t>
  </si>
  <si>
    <t>9月</t>
  </si>
  <si>
    <t>10月</t>
  </si>
  <si>
    <t>11月</t>
  </si>
  <si>
    <t>12月</t>
  </si>
  <si>
    <t>小计</t>
  </si>
  <si>
    <t>巩固拓展和乡村振兴</t>
  </si>
  <si>
    <t>以工
代赈</t>
  </si>
  <si>
    <t>少数民族发展</t>
  </si>
  <si>
    <t>欠发达国有农场</t>
  </si>
  <si>
    <t>欠发达国有林场</t>
  </si>
  <si>
    <t>欠发达国有牧场</t>
  </si>
  <si>
    <t>一</t>
  </si>
  <si>
    <t>产业增收</t>
  </si>
  <si>
    <t>jsx202301</t>
  </si>
  <si>
    <t>伽师县经济林带建设项目</t>
  </si>
  <si>
    <t>产业发展</t>
  </si>
  <si>
    <t>种植业基地</t>
  </si>
  <si>
    <t>新建</t>
  </si>
  <si>
    <t>1、铁日木乡：5村，6村、7村、8村、9村、10村。
2、和夏阿瓦提镇：17村、18村、25村、26村、27村、28村、29村、30村、32村、33村、34村、39村、40村。
3、克孜勒苏乡：28村。
4、古勒鲁克乡：2村、3村、9村、10村、15村、16村、17村、18村、19村、21村、25村、26村、27村、28村。
5、卧里托格拉克镇：5村、6村、7村、9村、8村、10村、29村、31村、32村、34村。
6、西克尔库勒镇西克尔村。
7、江巴孜乡7村、8村、9村、11村。</t>
  </si>
  <si>
    <t>在道路两旁6359.7亩开展新梅、杏李等经济林带建设，林带沟槽、铺设低压管道设施。资产归村集体所有。总资金2649.6万元。
一、铁日木乡阿亚格铁日木（5）村至西克尔库勒镇西克尔村，总计68公里路两边各30米宽，合计6120亩。
二、江巴孜乡开普台巴格（7）村、艾格铁热克（8）村、恰喀（9）村、依排克其（11）村4个村道路两边合计239.7亩。162.8843</t>
  </si>
  <si>
    <t>亩</t>
  </si>
  <si>
    <t>自然资源局、各乡镇</t>
  </si>
  <si>
    <t>jsx202302</t>
  </si>
  <si>
    <t>伽师县2023年江巴孜乡乡村振兴就业创业基地建设项目</t>
  </si>
  <si>
    <t>市场建设和农村物流</t>
  </si>
  <si>
    <t>江巴孜乡7村</t>
  </si>
  <si>
    <t>江巴孜乡开普台巴格（7）村集中连片建设乡村振兴就业创业基地14940平方米，配套水电路、消防、采暖、污水管网、污水处理设施等附属设施等，总投资7000万元。资产归村11个乡镇32个村集体所有：
1、英买里乡2个村：克皮乃克（6）村、拉依力克（20）村。
2、江巴孜乡7个村：阿克吐尔（2）村、栏杆（4）村、开普台巴格（7）村、艾格铁热克（8）村、依排克其（11）村、恰喀（9）村、开旦木加依（10）村。
3、克孜勒博依镇3个村：阿亚格乔拉克（17）村、阿依丁（26）村、科克通鲁克（34）村。
4、米夏乡 2个村:托万塔尔夏（7）村、其兰力克（8）村。
5、夏普吐勒镇4个村：兰干（12）村、喀赞库勒（14）村、安江艾日克（15）村、琼阿克艾日克（20）村。
6、和夏阿瓦提镇2个村:墩吕克（17）村、幸福（43）村。
7、克孜勒苏乡3个村：巴什勒格勒德玛（5）村、翁艾日克（19）村、吾斯塘博依（34）村。
8、古勒鲁克乡3个村：兰干（2）村、欧吐拉拜什塔木（24）村、巴什阿恰勒（26）村。
9、玉代克力克乡2个村：乔拉克（10）村、英买里（11）村。
10、铁日木乡2个村: 阿亚格铁日木（5）村、幸福（11）村。
11、巴仁镇2个村：巴合其(8)村、托万巴仁（9)村。</t>
  </si>
  <si>
    <t>座</t>
  </si>
  <si>
    <t>商工局</t>
  </si>
  <si>
    <t>jsx202303</t>
  </si>
  <si>
    <t>伽师县2023年卧里托格拉克镇乡村振兴就业创业基地建设项目</t>
  </si>
  <si>
    <t>卧里托格拉克镇28村</t>
  </si>
  <si>
    <t>在卧里托格拉克镇24个村集中连片建设乡村振兴就业创业基地，配套水电路、消防、采暖、污水管网、污水处理设施等附属设施等，资产归村集体所有，总投资2000万元。
塔格艾日克（1）村、尤库日阔什库勒（2）村、乌吐拉阔什库勒（3）村、喀塔尔墩（5）村、亚帕勒托格勒克（14）村、龙口（16）村、拜什托普（17）村、盖孜乃库木（19）村、乌堂（20）村、喀赞库勒（21）村、巴什阿克代尔亚（22）村、喀尕买里斯（23）村、阿亚格阿克达里亚（24）村、喀热尤勒滚（25）村、尤汗托格拉克（27）村、巴扎（28）村、卧里托格拉克（29）村、阿克吾斯塘（30）村、阿亚格阔什库勒（31）村、英巴格（32）村、强孜（35）村、英阔什库勒（36）村、巴希硝尔介乃克（37）村、阿亚格喀尕买里斯（38）村。</t>
  </si>
  <si>
    <t>jsx202304</t>
  </si>
  <si>
    <t>伽师县2023年克孜勒博依镇乡村振兴就业创业基地建设项目</t>
  </si>
  <si>
    <t>克孜勒博依镇1村</t>
  </si>
  <si>
    <t>在克孜勒博依镇11个村集中连片建设乡村振兴就业创业基地，配套水电路、消防、采暖、污水管网、污水处理设施等附属设施等，资产归村集体所有，总投资1300万元。
阿娜尔库勒（5）村、阔什艾日克（7）村、英阿依马克（11）村、吾斯塘博依（12）村、克孜勒巴依拉克（14）村、英买里（16）村、巴什乔拉克（18）村、托万阿热克什拉克（20）村、古力巴格（22）村、阿依丁（26）村、喀拉央塔克（31）村。</t>
  </si>
  <si>
    <t>jsx202305</t>
  </si>
  <si>
    <t>伽师县2023年玉代克力克乡乡村振兴就业创业基地建设项目</t>
  </si>
  <si>
    <t>玉代克力克5村</t>
  </si>
  <si>
    <t>在玉代克力克乡5个村集中连片建设乡村振兴就业创业基地，配套水电路、消防、采暖、污水管网、污水处理设施等附属设施等，资产归村集体所有，总投资700万元。
阿力囤托格拉克（4）村、巴扎（5）村、拜什喀帕（8）村、依提帕克（9）村、乔拉克（10）村。</t>
  </si>
  <si>
    <t>jsx202306</t>
  </si>
  <si>
    <t>伽师县西克尔库勒镇农副产品仓储物流建设项目</t>
  </si>
  <si>
    <t xml:space="preserve">西克尔库勒镇西克尔村
</t>
  </si>
  <si>
    <t>在西克尔镇西克尔村建设一座总建筑面积17934平方米农产品交易市场，其中：交易用房建筑面积10584平方米，其他用房建筑面积6850平方米，附属用房500平方米，配套附属设施。总投资4500万。资产归村集体所有，每年分红不低于5%。</t>
  </si>
  <si>
    <t>平方米</t>
  </si>
  <si>
    <t>西克尔库勒镇</t>
  </si>
  <si>
    <t>jsx202307</t>
  </si>
  <si>
    <t>喀什地区一市四县带动农户养殖喀什黑鸡项目-伽师县（一期）项目</t>
  </si>
  <si>
    <t>养殖业基地</t>
  </si>
  <si>
    <t>喀什市伯什克然木乡喀拉库木（18）村</t>
  </si>
  <si>
    <t>为持续做大做优做强家禽产业、增加就业、巩固拓展和乡村振兴有效衔接，购置商品代肉鸡育雏场育雏舍配套设备16套；建设整个养殖区内配套设施包括生产泵房、电力工程等，投资2000万元，资产归2个村集体所有，分红不低于5%。</t>
  </si>
  <si>
    <t>畜牧局</t>
  </si>
  <si>
    <t>jsx202308</t>
  </si>
  <si>
    <t>喀什地区现代农业（百万只良种）产业园伽师县改扩建项目</t>
  </si>
  <si>
    <t>喀什市阿克喀什乡</t>
  </si>
  <si>
    <t>为提高生产规模，增加就业，巩固拓展和乡村振兴有效衔接，原喀什地区现代农业（百万只良种）产业园伽师县场18栋产羔舍通风、羔羊岛改造，TMR中心扩建配料仓、粉碎间等工程。 资产归村集体所有，分红不低于5%。</t>
  </si>
  <si>
    <t>jsx202311</t>
  </si>
  <si>
    <t>伽师县2023年高标准农田建设项目</t>
  </si>
  <si>
    <t>伽师县各乡镇</t>
  </si>
  <si>
    <t>对伽师县10个乡镇开展10万亩高标准农田建设，开展土地平整、建设高效节水设施、完善路渠带等附属设施配套。建设标准：2500元/亩，衔接资金补助：1000元/亩，投入2.5亿元，衔接资金投入10000万元，其他资金1.5亿元。</t>
  </si>
  <si>
    <t>农业农村局</t>
  </si>
  <si>
    <t>jsx202312</t>
  </si>
  <si>
    <t>伽师县高标准农田建设项目（高效节水）</t>
  </si>
  <si>
    <t>新建2.5万亩高效节水、沉砂池、首部及配套设施等。投资4500万元，其中：衔接资金1500万元，债券资金3000万元。</t>
  </si>
  <si>
    <t>jsx202313</t>
  </si>
  <si>
    <t>伽师县高质量发展庭院经济项目</t>
  </si>
  <si>
    <t>生产项目</t>
  </si>
  <si>
    <t>英买里乡：10村、20村；
江巴孜乡10村；
铁日木乡11村。</t>
  </si>
  <si>
    <t>在3个乡4个村645脱贫户、监测户高质量发展庭院经济，以发展庭院特色种植、休闲农业为内容，每户补助1000元，共计64.5万元。
1、英买里乡2个村372户：英买里村180户、依拉力克村192户；2、江巴孜乡开旦木加依村88户；3、铁日木乡幸福村185户。</t>
  </si>
  <si>
    <t>户</t>
  </si>
  <si>
    <t>乡村振兴局、项目涉及乡镇</t>
  </si>
  <si>
    <t>1乡</t>
  </si>
  <si>
    <t>2乡</t>
  </si>
  <si>
    <t>铁日木乡</t>
  </si>
  <si>
    <t>jsx202314</t>
  </si>
  <si>
    <t>伽师县新梅加工厂附属配套项目</t>
  </si>
  <si>
    <t>和夏阿瓦提镇28村</t>
  </si>
  <si>
    <t>在新梅加工厂建设日处理3000立方米新梅生产加工污水处理厂一座，总投资1500万元，建设格栅池1座，1000立方米集水池1座，200立方米中和池1座，气浮机1套，3000立方米水解酸化池1座，6000立方米A/O生化池1座，二沉池2座，300立方米污泥浓缩池3座，规范化排口1座，污泥脱水、配电车间及相应的业务用房，以及相应的管网等配套设施。</t>
  </si>
  <si>
    <t>供销社</t>
  </si>
  <si>
    <t>jsx202315</t>
  </si>
  <si>
    <t>伽师县瓜菜产业基础设施建设项目</t>
  </si>
  <si>
    <t>英买里乡11村</t>
  </si>
  <si>
    <t>在英买里乡阿亚格英买里（11）村建设面积19140.92平方米的瓜菜产业基础设施及附属配套，为伽师县产业发展提供优质苗木，总投资2600万元。</t>
  </si>
  <si>
    <t>农技中心</t>
  </si>
  <si>
    <t>jsx202317</t>
  </si>
  <si>
    <t>伽师县2022年乡村振兴就业创业基地扩建项目</t>
  </si>
  <si>
    <t xml:space="preserve">克孜勒博依镇1村；                
克孜勒苏乡18村；            
古勒鲁克乡10村；                    
西克尔库勒镇西克尔村         </t>
  </si>
  <si>
    <t>在4个乡镇集中连片建设乡村振兴就业创业基地，配套相应附属设施。资产归村集体所有，总资金4600万元。2023年安排衔接资金730万元。
1、克孜勒博依镇建设场地规划用地面积20962.76平方米、规划总建筑面积4477平方米，预算投资1200万元，资产归12个村：居维其（2）村、库木买里斯（3）村、英艾日克（8）村、巴格艾日克（9）村、曲勒库勒（13）村、坎迪尔勒克（19）村、色满（23）村、木努尔（25）村、恰瓦拉（27）村、铁热克博斯坦（28）村、阿容（29）村、博迪马勒（30）村。
2、克孜勒苏乡规划用地面积1411平方米（2.11亩），本次规划建筑面积1233平方米，预算投资400万元，资产归4个村：巴什栏杆（1）村、塔格艾日克（17）村、阿克艾日克（23）村、阿克托喀依（30）村。
3、古勒鲁克乡规划用地面积9237平方米（13.8亩），规划建筑面积4965平方米，预算投资1400万元，资产归14个村：巴什古勒鲁克（1）村、兰干（2）村、英巴格（5）村、阿克提坎（8）村、巴什阿勒克库勒(9）村，阿勒喀库勒（10）村、拜什塔木（12）村、科克塔勒（19）村、阿克托卡依（20）村、苏巴斯提（21）村、英买里（23）村、欧吐拉拜什塔木（24）村、阿亚格科克塔勒（25）、巴什阿恰勒（26）村、克孜力库木（27）村。
4、西克尔镇规划用地面积5131.4平方米（7.7亩），规划建筑面积3843平方米，预算投资1300万元，资产归13个村：原卧里托格拉克镇色日克托格拉克（6）村、托库勒（9）村、喀热古鲁克（10）村、夏普吐勒买里斯（12）村、苏坎阿斯特（13）村、托格拉（33）村、阔曲买贝希（34）村；原克孜勒苏乡多来提巴格（27）村、克日克塔木（29）村、古力巴格（31）村；原古勒鲁克乡喀让古鲁克（15）村、阿恰勒（17）村、库其木拜什（28）村。</t>
  </si>
  <si>
    <t>jsx202320</t>
  </si>
  <si>
    <t>伽师县特色产业配套基础设施建设项目（以工代赈）</t>
  </si>
  <si>
    <t>小型农田水利设施、农村道路建设</t>
  </si>
  <si>
    <t>英买里乡14村。
卧里托格拉克镇21村。
克孜勒博依镇3村、5村、6村。
米夏乡7村、13村、15村、16村、17村、18村、19村、20村、21村。
和夏阿瓦提镇25村。
玉代克力克乡4村、5村。
铁日木乡12村。</t>
  </si>
  <si>
    <t>在7个乡镇实施8个以工代赈项目，主要为道路建设7.5公里，防渗渠建设37.54公里及其附属设施，总投资2626万元。
1、伽师县英买里乡交通基础设施建设中央财政以工代赈项目，建设村组道路5公里、农牧产业配套地面硬化2300平方米，总投资265万。
2、伽师县英买里乡阿亚格栏杆（14）村新梅特色产业配套基础设施建设中央财政以工代赈项目，配套防渗渠5公里及其附属设施 ，总投资350万。
3、伽师县和夏阿瓦提镇新梅特色产业配套基础设施建设中央财政以工代赈项目， 配套防渗渠5公里及其附属设施，总投资350万元。
4、伽师县克孜勒博依镇新梅特色产业配套基础设施建设中央财政以工代赈项目，配套防渗渠5.28公里及其附属设施总投资350万。
5、伽师县米夏乡农村交通基础设施建设中央财政以工代赈项目。建设道路7公里及相关配套设施建设。总投资350万。
6、伽师县玉代克力克乡农村交通基础设施建设中央财政以工代赈项目， 建设道路6.86公里及相关配套设施建设。总投资343万元。
7、伽师县铁日木乡伽师瓜特色产业配套基础设施建设中央财政以工代赈项目，配套防渗渠3.4公里及其附属设施，总投资238万元。
8、伽师县卧里托格拉克镇农村交通基础设施建设项目，建设道路7.5公里及相关配套设施建设。总投资380万元。</t>
  </si>
  <si>
    <t>公里</t>
  </si>
  <si>
    <t>发改委，项目涉及乡镇</t>
  </si>
  <si>
    <t>3乡</t>
  </si>
  <si>
    <t>4乡</t>
  </si>
  <si>
    <t>5乡</t>
  </si>
  <si>
    <t>7乡</t>
  </si>
  <si>
    <t>10乡</t>
  </si>
  <si>
    <t>jsx202321</t>
  </si>
  <si>
    <t>伽师县2023年产业基础设施完善项目-克孜勒博依镇乔拉克斗渠防渗改建工程</t>
  </si>
  <si>
    <t>小型农田水利设施</t>
  </si>
  <si>
    <t xml:space="preserve">克孜勒博依镇16村、17村、18村、19村、20村、21村。
</t>
  </si>
  <si>
    <r>
      <t>克孜勒博依镇乔拉克支、斗渠防渗改建工程。克孜勒博依镇16村、17村、18村、19村、20村、21村，改建13.138公里斗渠及81座渠系配套建筑物，渠道流量0.38-2.56m</t>
    </r>
    <r>
      <rPr>
        <sz val="12"/>
        <rFont val="宋体"/>
        <family val="0"/>
      </rPr>
      <t>³</t>
    </r>
    <r>
      <rPr>
        <sz val="12"/>
        <rFont val="仿宋"/>
        <family val="3"/>
      </rPr>
      <t>/s，总投资1800万元。</t>
    </r>
  </si>
  <si>
    <t>水利局、克孜勒博依镇人民政府</t>
  </si>
  <si>
    <t>jsx202354</t>
  </si>
  <si>
    <t>伽师县2023年产业基础设施完善项目-克孜勒博依镇苏力坦艾日克（7、8、9村）斗渠防渗改建工程</t>
  </si>
  <si>
    <t>克孜勒博依镇7村、8村、9村。</t>
  </si>
  <si>
    <r>
      <t>克孜勒博依镇苏力坦艾日克（7、8、9村）斗渠防渗改建工程。克孜勒博依镇7村、8村、9村改建8.081公里斗渠及125座渠系配套建筑物，渠道流量0.51-0.9m</t>
    </r>
    <r>
      <rPr>
        <sz val="12"/>
        <rFont val="宋体"/>
        <family val="0"/>
      </rPr>
      <t>³</t>
    </r>
    <r>
      <rPr>
        <sz val="12"/>
        <rFont val="仿宋"/>
        <family val="3"/>
      </rPr>
      <t>/s，总投资1098.03万元。</t>
    </r>
  </si>
  <si>
    <t>jsx202355</t>
  </si>
  <si>
    <t>伽师县2023年产业基础设施完善项目-米夏乡喀孜艾日克（4）村斗渠防渗改建工程</t>
  </si>
  <si>
    <t xml:space="preserve">
米夏乡4村。
</t>
  </si>
  <si>
    <t>米夏乡喀孜艾日克（4）村斗渠防渗改建工程。米夏乡喀孜艾日克（4）村改建7.635公里斗渠及配套建筑物，渠道流量1.2-0.5-m3/s ，总投资1092.9万元。</t>
  </si>
  <si>
    <t>水利局、米夏乡人民政府</t>
  </si>
  <si>
    <t>jsx202356</t>
  </si>
  <si>
    <t>伽师县2023年产业基础设施完善项目-米夏乡英塔木（10）村斗渠防渗改建工程</t>
  </si>
  <si>
    <t xml:space="preserve">
米夏乡10村。
</t>
  </si>
  <si>
    <r>
      <t>米夏乡英塔木（10）村斗渠防渗改建工程。米夏乡英塔木（10）村改建8.277公里斗渠及75座渠系配套建筑物，渠道流量0.6-1.0-m</t>
    </r>
    <r>
      <rPr>
        <sz val="12"/>
        <rFont val="宋体"/>
        <family val="0"/>
      </rPr>
      <t>³</t>
    </r>
    <r>
      <rPr>
        <sz val="12"/>
        <rFont val="仿宋"/>
        <family val="3"/>
      </rPr>
      <t>/s，总投资1151.13万元。</t>
    </r>
  </si>
  <si>
    <t>jsx202357</t>
  </si>
  <si>
    <t xml:space="preserve">伽师县2023年产业基础设施完善项目-夏普吐勒镇恰依拉阿克艾日克斗渠防渗改建工程  </t>
  </si>
  <si>
    <t xml:space="preserve">
夏普吐勒镇19村、21村
</t>
  </si>
  <si>
    <t>夏普吐勒镇恰依拉阿克艾日克斗渠防渗改建工程。夏普吐勒镇恰依拉（19）村、克其克阿克艾日克（21）村改建12.363公里斗渠及配套建筑物，渠道流量1.2-0.8m3/s，133万元/公里，总投资1638.88万元。</t>
  </si>
  <si>
    <t>水利局、夏普吐勒镇镇人民政府</t>
  </si>
  <si>
    <t>jsx202358</t>
  </si>
  <si>
    <t>伽师县2023年产业基础设施完善项目-和夏阿瓦提镇萨尔吾斯（29）村斗渠防渗改建工程</t>
  </si>
  <si>
    <t xml:space="preserve">
和夏阿瓦提镇29村</t>
  </si>
  <si>
    <r>
      <t>和夏阿瓦提镇萨尔吾斯（29）村斗渠防渗改建工程"。和夏阿瓦提镇萨尔吾斯(29)村 改建5.86公里斗渠及35座渠系配套建筑物，渠道流量0.06-1.2m</t>
    </r>
    <r>
      <rPr>
        <sz val="12"/>
        <rFont val="宋体"/>
        <family val="0"/>
      </rPr>
      <t>³</t>
    </r>
    <r>
      <rPr>
        <sz val="12"/>
        <rFont val="仿宋"/>
        <family val="3"/>
      </rPr>
      <t>/s，总投资831.75万元。</t>
    </r>
  </si>
  <si>
    <t>水利局、和夏阿瓦提镇人民政府</t>
  </si>
  <si>
    <t>jsx202322</t>
  </si>
  <si>
    <t>伽师县农产品产业园道路建设项目</t>
  </si>
  <si>
    <t>产业园</t>
  </si>
  <si>
    <t xml:space="preserve">和夏阿瓦提镇28村
</t>
  </si>
  <si>
    <t>在和夏阿瓦提镇克亚克勒克（28）村农产品产业加工园区建设道路，新建砂石道路62617平方米，新建混凝土路面3998平方米，总投资350万元。</t>
  </si>
  <si>
    <t>jsx202330</t>
  </si>
  <si>
    <t>伽师县农产品产业园电力建设项目</t>
  </si>
  <si>
    <t>在和夏阿瓦提镇克亚克勒克（28）村农产品产业加工园区建设电力外网，新建电杆75根，10KV-0.6KV线路电缆36795米、新增12台杆上变压器及配套设备，总投资399万元。</t>
  </si>
  <si>
    <t>jsx202331</t>
  </si>
  <si>
    <t>伽师县农产品产业园供水建设项目</t>
  </si>
  <si>
    <t>在和夏阿瓦提镇克亚克勒克（28）村农产品产业加工园区建设供水外网，新建供水管线10361米、阀门井13座、沉砂池1座、泵房1座及配套设备等，总投资251万元。</t>
  </si>
  <si>
    <t>jsx202324</t>
  </si>
  <si>
    <t>伽师县小额贷款贴息项目</t>
  </si>
  <si>
    <t>小额贷款贴息</t>
  </si>
  <si>
    <t>对全县小额信贷12853户脱贫户、监测户进行贴息，资金2000万元。</t>
  </si>
  <si>
    <t>财政局</t>
  </si>
  <si>
    <t>二</t>
  </si>
  <si>
    <t>乡村建设行动</t>
  </si>
  <si>
    <t>jsx202325</t>
  </si>
  <si>
    <t>伽师县2023年村组道路建设项目</t>
  </si>
  <si>
    <t>农村道路建设（通村路、通户路、小型桥梁等）</t>
  </si>
  <si>
    <t>1、西克尔库勒镇：西克尔村、尤古买其勒克村、亚帕勒托格拉克村、库勒村、阿吉勒格里克村、亚帕勒托格拉克村、柯尔克孜吐格村。
2、古勒鲁克乡21村
3、克孜勒苏乡17个村：8村、12村、13村、14村、15村、16村、17村、18村、19村、22村、27村、30村、34村、37村、38村、39村。
4、米夏乡7村、21村。
5、铁日木乡1村。
6、江巴孜乡7村。</t>
  </si>
  <si>
    <t>6个乡镇修建村组道路建设43.7公里，投资3020万元。
1、西克尔库勒镇6个村8.3公里，投资530万元：尤古买其勒克村1.5公里、亚帕勒托格拉克村2.7公里、库勒村1公里、阿吉勒格里克村0.8公里，亚帕勒托格拉克村2.7公里、柯尔克孜吐格村2.3公里。
2、西克尔库勒镇西克尔村至古勒鲁克乡苏巴斯提村道路建设5.3公里，投资750万元（含桥梁1座）。
3、米夏乡2个村6.1公里，投资300万元。阿亚格欧依托格拉克（21）村4.5公里、托万塔尔夏（7）村1.6公里。
4、克孜勒苏乡17个村22.2公里，投资1300万元：勒格里地玛央艾日克（8）村0.3公里、央艾日克（12）村0.3公里、阔什托格拉克（13）村1.1公里、库台买村（14）村5.2公里、巴格托格拉克（15)村0.4公里、约勒其(16)村1.3公里、塔格艾日克(17)村1.3公里、古里巴什(18村)0.5公里、翁艾日克(19)村4.3公里、巴格艾日克(22)村0.9公里、多来提巴格(27)村0.7公里、阿克托喀依(30)村2.1公里、古力巴格(31)村0.3公里、吾斯塘博依(34)村0.3公里、阿亚格奥依塔格(37)村1.4公里、吾依塔格(38)村1.2公里、巴什奥塔格(39)村0.6公里。
5、铁日木乡铁格艾日克（1）村1公里，投资60万元。               
6、江巴孜乡开普台巴格（7）村0.8公里，投资80万。</t>
  </si>
  <si>
    <t>交通局</t>
  </si>
  <si>
    <t>jsx202326</t>
  </si>
  <si>
    <t>伽师县英买里乡拉依力克（20）村2023年自治区重点示范村建设项目</t>
  </si>
  <si>
    <t>农村基础设施、人居环境整治</t>
  </si>
  <si>
    <t>英买里乡20村</t>
  </si>
  <si>
    <t>在英买里乡拉依力克（20）村建设污水主管网28公里及污水提升泵站、天然气管道28公里、防渗渠5.5公里，道路整治6.3公里等基础设施、改善人居环境、公共服务能力提升等，总投资5298.45万元，其中援疆资金1300万元。</t>
  </si>
  <si>
    <t>个</t>
  </si>
  <si>
    <t>英买里乡</t>
  </si>
  <si>
    <t>jsx202327</t>
  </si>
  <si>
    <t>伽师县江巴孜乡开旦木加依（10）村2023年自治区重点示范村建设项目</t>
  </si>
  <si>
    <t>改建</t>
  </si>
  <si>
    <t>江巴孜乡10村</t>
  </si>
  <si>
    <t>在江巴孜乡开旦木加依（10）村乡设污水主管网1.9公里及污水提升泵站、天然气管道19.736公里、道路整治53924.62平方、购置垃圾桶394个，36个垃圾船，电动垃圾清运车15个，垃圾运送车2辆等基础设施、公共服务能力提升等，总投资4998.7万元，其中援疆资金1300万元。</t>
  </si>
  <si>
    <t>江巴孜乡</t>
  </si>
  <si>
    <t>jsx202328</t>
  </si>
  <si>
    <t>伽师县2023年示范村建设项目</t>
  </si>
  <si>
    <t>1、英买里乡6村、7村。
2、江巴孜乡26村、27村。
3、卧里托格拉克镇23村、25村、26村。
4、克孜勒博依镇24村、25村、26村。
5、米夏乡15村、16村。
6、夏普吐勒镇8村、9村。
7、和夏阿瓦提镇17村、19村、42村。
8、克孜勒苏乡16村、17村、39村。
9、古勒鲁克乡12村、21村。
10、玉代克力克乡2村、3村、4村。
11、铁日木乡4村。
12、巴仁镇8村。
13、西克尔库勒镇西克尔村。</t>
  </si>
  <si>
    <t>对13个乡镇28个示范村开展以产业，村基础实施，人居环境整治，提升村级公共服务建设等为主示范创建，计划投资5000万元，其中援疆资金1895.65万元。
1、英买里乡：克皮乃克（6）村、阿亚格克皮乃克（7）村；
2、江巴孜乡：喀热喀什（26）村、仓（27）村；
3、卧里托格拉克镇：喀尕买里斯（23）村、喀热尤勒滚（25）村、托盖欧勒迪（26）村；
4、克孜勒博依镇：阿依丁（26）村、浩罕（24）村、木努尔（25）村；
5、米夏乡：托格日苏（15）村、吐格巴斯特（16）村；
6、夏普吐勒镇：米里克（9）村、提木（8）村。
7、和夏阿瓦提镇：墩吕克（17）村、尕藏托格拉克（19）村、光明（42）村；
8、克孜勒苏乡：塔格艾日克（17）村、约勒其（16）村、巴什奥塔格（39）村；
9、古勒鲁克乡：拜什塔木（12）村、苏巴斯提（21）村；
10、玉代克力克乡：阿力囤托格拉克（4）村、百合提（2）村、阿娜尔（3）村；
11、铁日木乡巴什铁日木（4）村；
12、巴仁镇巴合其（8）村；
13、西克尔库勒镇西克尔村。</t>
  </si>
  <si>
    <t>6乡</t>
  </si>
  <si>
    <t>8乡</t>
  </si>
  <si>
    <t>9乡</t>
  </si>
  <si>
    <t>巴仁镇</t>
  </si>
  <si>
    <t>jsx202341</t>
  </si>
  <si>
    <t>伽师县英买里乡阿亚格英买里（11）村产业道路建设项目</t>
  </si>
  <si>
    <t>农村污水治理</t>
  </si>
  <si>
    <t>西克尔库勒镇西克尔村</t>
  </si>
  <si>
    <t>新建一座处理规模为1000立方米/日污水处理厂及附属配套，铺设1公里管网，购置污水处理设备等，总投资1200万元。</t>
  </si>
  <si>
    <t>jsx202343</t>
  </si>
  <si>
    <t>伽师县乡村公共厕所建设项目</t>
  </si>
  <si>
    <t>农村卫生厕所改造</t>
  </si>
  <si>
    <t xml:space="preserve">1、英买里乡6村、
2、江巴孜乡26村、
3、克孜勒博依镇26村、
4、米夏乡15村、
5、和夏阿瓦提镇16村、
6、古勒鲁克乡10村、
7、玉代克力克乡4村、
8、铁日木乡4村、
</t>
  </si>
  <si>
    <t>对8个乡镇8个示范村建设公共厕所及设施座，每个村1座，补助标准：35万元，总资金280万元。
1、英买里乡克皮乃克（6）村；
2、江巴孜乡喀热喀什（26）村；
3、克孜勒博依镇阿依丁（26）村；
4、米夏乡托格日苏（15）村；
5、和夏阿瓦提镇托玛贝希（16）村；
6、古勒鲁克乡阿勒克库勒（10）村；
7、玉代克力克乡阿力囤托格拉克（4）村；
8、铁日木乡巴什铁日木（4）村；</t>
  </si>
  <si>
    <t>住建局、项目涉及乡镇</t>
  </si>
  <si>
    <t>jsx202359</t>
  </si>
  <si>
    <t>伽师县城乡一体化供水工程老旧管网巩固提升工程（一期）</t>
  </si>
  <si>
    <t>农村供水保障建设项目</t>
  </si>
  <si>
    <t>克孜勒博依镇1村、2村、3村、4村、5村、6村、7村、8村、9村、10村、11村、12村、13村、14村、15村、16村、17村、18村、19村、20村、21村、22村、23村、24村、25村、26村、27村、28村、29村、30村、31村、32村、33村、34村。
米夏乡1村、2村、3村、4村、5村、6村、7村、8村、9村、10村、11村、12村、13村、14村、15村、16村、17村、18村、19村、20村、21村.</t>
  </si>
  <si>
    <t>在克孜勒博依镇34个村、米夏乡21个村改造管网长度585.09km,均为PE管，总投资4702万元。保障8.3万人农村群众饮水持续安全问题。</t>
  </si>
  <si>
    <t>水利局</t>
  </si>
  <si>
    <t>jsx202344</t>
  </si>
  <si>
    <t>伽师县城乡一体化供水工程老旧管网巩固提升工程（二期）</t>
  </si>
  <si>
    <t>夏普吐勒镇1村、2村、3村、4村、5村、6村、7村、8村、9村、10村、11村、12村、13村、14村、15村、16村、17村、18村、19村、20村、21村、22村、23村、24村。
和夏阿瓦提镇1村、2村、3村、4村、5村、6村、7村、8村、9村、10村、11村、12村、13村、14村、15村、16村、17村、18村、19村、20村、21村、22村、23村、24村、25村、26村、27村、28村、29村、30村、31村、32村、33村、34村、35村、36村、37村、38村、39村、40村、41村、42村、43村、44村。
铁日木乡1村、2村、3村、4村、5村、6村、7村、8村、9村、10村、11村、12村。</t>
  </si>
  <si>
    <t>对夏普吐勒镇24个村、和夏阿瓦提镇44个村、铁日木乡12个村共555.54公里老旧内部管网进行更新改造，均为PE管，总投资4932万元。保障10.4万人农村群众饮水持续安全问题。</t>
  </si>
  <si>
    <t>jsx202360</t>
  </si>
  <si>
    <t>伽师县城乡一体化供水工程老旧管网巩固提升工程（三期）</t>
  </si>
  <si>
    <t>卧里托格拉克镇1村、2村、3村、4村、5村、6村、7村、8村、9村、10村、11村、12村、13村、14村、15村、16村、17村、18村、19村、20村、21村、22村、23村、24村、25村、26村、27村、28村、29村、30村、31村、32村、33村、34村、35村、36村、37村、38村。
玉代克力克乡1村、2村、3村、4村、5村、6村、7村、8村、9村、10村、11村、12村</t>
  </si>
  <si>
    <t>对卧里托格拉克镇38个村、玉代克里克乡12个村共501.46公里老旧内部管网进行更新改造，均为PE管，总投资4255万元。保障6.4万人农村群众饮水持续安全问题。</t>
  </si>
  <si>
    <t>三</t>
  </si>
  <si>
    <t>就业项目</t>
  </si>
  <si>
    <t>jsx202348</t>
  </si>
  <si>
    <t>伽师县2023年农村道路管护人员补助项目</t>
  </si>
  <si>
    <t>公益性岗位</t>
  </si>
  <si>
    <t>12个乡镇1254名护路员公益性岗位进行工资补助，每人每月1000元，计划资金1504.8万元。
英买里乡125人、江巴孜乡125人、卧里托格拉克镇151人、克孜勒博依镇119人、米夏乡89人、夏普吐勒镇83人、和夏阿瓦提镇149人、克孜勒苏乡134人、古勒鲁克乡140人、玉代克力克乡48人、巴仁镇56人、铁日木乡35人。</t>
  </si>
  <si>
    <t>人</t>
  </si>
  <si>
    <t>jsx202349</t>
  </si>
  <si>
    <t>伽师县公益性岗位补助项目</t>
  </si>
  <si>
    <t>对伽师县13个乡镇3310个村配备公益性岗位（脱贫户及监测户）400名，补助标准：1620元/人/月，补助12个月，总资金777.6万元。</t>
  </si>
  <si>
    <t>四</t>
  </si>
  <si>
    <t>巩固三保障成果</t>
  </si>
  <si>
    <t>jsx202351</t>
  </si>
  <si>
    <t>伽师县“雨露计划”职业教育补助项目</t>
  </si>
  <si>
    <t>享受“雨露计划+”职业教育补助</t>
  </si>
  <si>
    <t>对疆内外在册就读中职、高职、技工学校伽师籍脱贫户学生家庭进行补助。补助人数9000人，每人补助3000元，总资金2700万元。</t>
  </si>
  <si>
    <t>教育局</t>
  </si>
  <si>
    <t>五</t>
  </si>
  <si>
    <t>其他</t>
  </si>
  <si>
    <t>jsx202353</t>
  </si>
  <si>
    <t>伽师县困难群众“健康饮茶”“送茶入户”项目</t>
  </si>
  <si>
    <t>困难群众饮用低氟茶</t>
  </si>
  <si>
    <t>为进一步做好推广低氟边销茶工作，倡导“健康饮茶”“送茶入户”，遏制饮茶型地氟病的蔓延，对伽师县8842户困难群众发放低氟边销茶，每户发放2公斤，每公斤35元，合计61.894万元。</t>
  </si>
  <si>
    <t>统战部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</si>
</sst>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s>
  <fonts count="55">
    <font>
      <sz val="12"/>
      <name val="宋体"/>
      <family val="0"/>
    </font>
    <font>
      <sz val="11"/>
      <name val="宋体"/>
      <family val="0"/>
    </font>
    <font>
      <b/>
      <sz val="26"/>
      <name val="方正小标宋简体"/>
      <family val="0"/>
    </font>
    <font>
      <sz val="16"/>
      <name val="黑体"/>
      <family val="3"/>
    </font>
    <font>
      <b/>
      <sz val="16"/>
      <name val="宋体"/>
      <family val="0"/>
    </font>
    <font>
      <sz val="14"/>
      <name val="仿宋"/>
      <family val="3"/>
    </font>
    <font>
      <sz val="12"/>
      <name val="仿宋"/>
      <family val="3"/>
    </font>
    <font>
      <sz val="13"/>
      <name val="仿宋"/>
      <family val="3"/>
    </font>
    <font>
      <b/>
      <sz val="12"/>
      <name val="宋体"/>
      <family val="0"/>
    </font>
    <font>
      <sz val="16"/>
      <color indexed="8"/>
      <name val="黑体"/>
      <family val="3"/>
    </font>
    <font>
      <b/>
      <sz val="14"/>
      <name val="宋体"/>
      <family val="0"/>
    </font>
    <font>
      <sz val="14"/>
      <color indexed="10"/>
      <name val="仿宋"/>
      <family val="3"/>
    </font>
    <font>
      <sz val="11"/>
      <color indexed="8"/>
      <name val="宋体"/>
      <family val="0"/>
    </font>
    <font>
      <sz val="11"/>
      <color indexed="9"/>
      <name val="宋体"/>
      <family val="0"/>
    </font>
    <font>
      <sz val="11"/>
      <color indexed="10"/>
      <name val="宋体"/>
      <family val="0"/>
    </font>
    <font>
      <sz val="11"/>
      <color indexed="16"/>
      <name val="宋体"/>
      <family val="0"/>
    </font>
    <font>
      <sz val="11"/>
      <color indexed="17"/>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sz val="14"/>
      <color rgb="FFFF0000"/>
      <name val="仿宋"/>
      <family val="3"/>
    </font>
    <font>
      <b/>
      <sz val="12"/>
      <name val="Calibri"/>
      <family val="0"/>
    </font>
    <font>
      <b/>
      <sz val="16"/>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0" fillId="0" borderId="0">
      <alignment vertical="center"/>
      <protection/>
    </xf>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61">
    <xf numFmtId="0" fontId="0" fillId="0" borderId="0" xfId="0" applyAlignment="1">
      <alignment vertical="center"/>
    </xf>
    <xf numFmtId="0" fontId="0" fillId="0" borderId="0" xfId="0" applyFill="1" applyAlignment="1">
      <alignment vertical="center"/>
    </xf>
    <xf numFmtId="0" fontId="2" fillId="0" borderId="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4" fillId="33" borderId="13" xfId="25" applyFont="1" applyFill="1" applyBorder="1" applyAlignment="1">
      <alignment horizontal="center" vertical="center" wrapText="1"/>
      <protection/>
    </xf>
    <xf numFmtId="0" fontId="4" fillId="33" borderId="14" xfId="25" applyFont="1" applyFill="1" applyBorder="1" applyAlignment="1">
      <alignment horizontal="center" vertical="center" wrapText="1"/>
      <protection/>
    </xf>
    <xf numFmtId="0" fontId="4" fillId="33" borderId="15" xfId="25" applyFont="1" applyFill="1" applyBorder="1" applyAlignment="1">
      <alignment horizontal="center" vertical="center" wrapText="1"/>
      <protection/>
    </xf>
    <xf numFmtId="0" fontId="4" fillId="33" borderId="10" xfId="25" applyFont="1" applyFill="1" applyBorder="1" applyAlignment="1">
      <alignment vertical="center" wrapText="1"/>
      <protection/>
    </xf>
    <xf numFmtId="0" fontId="4" fillId="33" borderId="10" xfId="25" applyFont="1" applyFill="1" applyBorder="1" applyAlignment="1">
      <alignment horizontal="left" vertical="center" wrapText="1"/>
      <protection/>
    </xf>
    <xf numFmtId="0" fontId="4" fillId="33" borderId="10" xfId="25"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19" borderId="10" xfId="0" applyFont="1" applyFill="1" applyBorder="1" applyAlignment="1">
      <alignment horizontal="center" vertical="center" wrapText="1"/>
    </xf>
    <xf numFmtId="0" fontId="5" fillId="19" borderId="10" xfId="0" applyFont="1" applyFill="1" applyBorder="1" applyAlignment="1">
      <alignment horizontal="left" vertical="center" wrapText="1"/>
    </xf>
    <xf numFmtId="0" fontId="6" fillId="19"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33" borderId="10" xfId="25" applyFont="1" applyFill="1" applyBorder="1" applyAlignment="1">
      <alignment horizontal="left" vertical="center" wrapText="1"/>
      <protection/>
    </xf>
    <xf numFmtId="0" fontId="3" fillId="0" borderId="9"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10" fillId="33" borderId="10" xfId="25" applyNumberFormat="1" applyFont="1" applyFill="1" applyBorder="1" applyAlignment="1">
      <alignment horizontal="center" vertical="center" wrapText="1"/>
      <protection/>
    </xf>
    <xf numFmtId="176" fontId="10" fillId="33" borderId="10" xfId="25" applyNumberFormat="1"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0" fontId="10" fillId="0" borderId="10" xfId="25" applyNumberFormat="1" applyFont="1" applyFill="1" applyBorder="1" applyAlignment="1">
      <alignment horizontal="center" vertical="center" wrapText="1"/>
      <protection/>
    </xf>
    <xf numFmtId="176" fontId="10" fillId="0" borderId="10" xfId="25"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176" fontId="3" fillId="0" borderId="10" xfId="0" applyNumberFormat="1" applyFont="1" applyFill="1" applyBorder="1" applyAlignment="1">
      <alignment vertical="center" wrapText="1"/>
    </xf>
    <xf numFmtId="176" fontId="3"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left" vertical="center" wrapText="1"/>
    </xf>
    <xf numFmtId="176" fontId="52" fillId="0" borderId="10"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xf>
    <xf numFmtId="10" fontId="2" fillId="0" borderId="0" xfId="0" applyNumberFormat="1" applyFont="1" applyFill="1" applyBorder="1" applyAlignment="1">
      <alignment horizontal="center" vertical="center" wrapText="1"/>
    </xf>
    <xf numFmtId="10" fontId="3" fillId="0" borderId="9"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10" fontId="3" fillId="0" borderId="12" xfId="0" applyNumberFormat="1" applyFont="1" applyFill="1" applyBorder="1" applyAlignment="1">
      <alignment horizontal="center" vertical="center" wrapText="1"/>
    </xf>
    <xf numFmtId="10" fontId="10" fillId="33" borderId="10" xfId="25" applyNumberFormat="1" applyFont="1" applyFill="1" applyBorder="1" applyAlignment="1">
      <alignment horizontal="center" vertical="center" wrapText="1"/>
      <protection/>
    </xf>
    <xf numFmtId="10" fontId="5" fillId="0" borderId="10" xfId="0" applyNumberFormat="1" applyFont="1" applyFill="1" applyBorder="1" applyAlignment="1">
      <alignment horizontal="left" vertical="center" wrapText="1"/>
    </xf>
    <xf numFmtId="10" fontId="5" fillId="19" borderId="10" xfId="0" applyNumberFormat="1" applyFont="1" applyFill="1" applyBorder="1" applyAlignment="1">
      <alignment horizontal="left" vertical="center" wrapText="1"/>
    </xf>
    <xf numFmtId="0" fontId="53" fillId="33" borderId="10"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0" fillId="0" borderId="0" xfId="0" applyFont="1" applyAlignment="1">
      <alignment vertical="center"/>
    </xf>
    <xf numFmtId="0" fontId="54" fillId="33" borderId="10" xfId="0" applyFont="1" applyFill="1" applyBorder="1" applyAlignment="1">
      <alignment horizontal="left" vertical="center" wrapText="1"/>
    </xf>
    <xf numFmtId="178" fontId="10" fillId="33" borderId="10" xfId="25" applyNumberFormat="1" applyFont="1" applyFill="1" applyBorder="1" applyAlignment="1">
      <alignment horizontal="center" vertical="center" wrapText="1"/>
      <protection/>
    </xf>
    <xf numFmtId="178" fontId="10" fillId="0" borderId="10" xfId="25" applyNumberFormat="1"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xdr:row>
      <xdr:rowOff>0</xdr:rowOff>
    </xdr:from>
    <xdr:ext cx="76200" cy="219075"/>
    <xdr:sp fLocksText="0">
      <xdr:nvSpPr>
        <xdr:cNvPr id="1" name="TextBox 25"/>
        <xdr:cNvSpPr txBox="1">
          <a:spLocks noChangeArrowheads="1"/>
        </xdr:cNvSpPr>
      </xdr:nvSpPr>
      <xdr:spPr>
        <a:xfrm>
          <a:off x="11201400" y="438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xdr:row>
      <xdr:rowOff>0</xdr:rowOff>
    </xdr:from>
    <xdr:ext cx="76200" cy="219075"/>
    <xdr:sp fLocksText="0">
      <xdr:nvSpPr>
        <xdr:cNvPr id="2" name="TextBox 26"/>
        <xdr:cNvSpPr txBox="1">
          <a:spLocks noChangeArrowheads="1"/>
        </xdr:cNvSpPr>
      </xdr:nvSpPr>
      <xdr:spPr>
        <a:xfrm>
          <a:off x="11201400" y="438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xdr:row>
      <xdr:rowOff>0</xdr:rowOff>
    </xdr:from>
    <xdr:ext cx="76200" cy="219075"/>
    <xdr:sp fLocksText="0">
      <xdr:nvSpPr>
        <xdr:cNvPr id="3" name="TextBox 27"/>
        <xdr:cNvSpPr txBox="1">
          <a:spLocks noChangeArrowheads="1"/>
        </xdr:cNvSpPr>
      </xdr:nvSpPr>
      <xdr:spPr>
        <a:xfrm>
          <a:off x="11201400" y="438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xdr:row>
      <xdr:rowOff>0</xdr:rowOff>
    </xdr:from>
    <xdr:ext cx="76200" cy="219075"/>
    <xdr:sp fLocksText="0">
      <xdr:nvSpPr>
        <xdr:cNvPr id="4" name="TextBox 28"/>
        <xdr:cNvSpPr txBox="1">
          <a:spLocks noChangeArrowheads="1"/>
        </xdr:cNvSpPr>
      </xdr:nvSpPr>
      <xdr:spPr>
        <a:xfrm>
          <a:off x="11201400" y="438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xdr:row>
      <xdr:rowOff>0</xdr:rowOff>
    </xdr:from>
    <xdr:ext cx="76200" cy="219075"/>
    <xdr:sp fLocksText="0">
      <xdr:nvSpPr>
        <xdr:cNvPr id="5" name="TextBox 29"/>
        <xdr:cNvSpPr txBox="1">
          <a:spLocks noChangeArrowheads="1"/>
        </xdr:cNvSpPr>
      </xdr:nvSpPr>
      <xdr:spPr>
        <a:xfrm>
          <a:off x="11201400" y="438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xdr:row>
      <xdr:rowOff>0</xdr:rowOff>
    </xdr:from>
    <xdr:ext cx="76200" cy="219075"/>
    <xdr:sp fLocksText="0">
      <xdr:nvSpPr>
        <xdr:cNvPr id="6" name="TextBox 30"/>
        <xdr:cNvSpPr txBox="1">
          <a:spLocks noChangeArrowheads="1"/>
        </xdr:cNvSpPr>
      </xdr:nvSpPr>
      <xdr:spPr>
        <a:xfrm>
          <a:off x="11201400" y="438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xdr:row>
      <xdr:rowOff>0</xdr:rowOff>
    </xdr:from>
    <xdr:ext cx="76200" cy="219075"/>
    <xdr:sp fLocksText="0">
      <xdr:nvSpPr>
        <xdr:cNvPr id="7" name="TextBox 31"/>
        <xdr:cNvSpPr txBox="1">
          <a:spLocks noChangeArrowheads="1"/>
        </xdr:cNvSpPr>
      </xdr:nvSpPr>
      <xdr:spPr>
        <a:xfrm>
          <a:off x="11201400" y="4381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685800</xdr:colOff>
      <xdr:row>0</xdr:row>
      <xdr:rowOff>180975</xdr:rowOff>
    </xdr:from>
    <xdr:ext cx="76200" cy="219075"/>
    <xdr:sp fLocksText="0">
      <xdr:nvSpPr>
        <xdr:cNvPr id="8" name="TextBox 32"/>
        <xdr:cNvSpPr txBox="1">
          <a:spLocks noChangeArrowheads="1"/>
        </xdr:cNvSpPr>
      </xdr:nvSpPr>
      <xdr:spPr>
        <a:xfrm>
          <a:off x="11201400" y="180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L112"/>
  <sheetViews>
    <sheetView tabSelected="1" zoomScale="62" zoomScaleNormal="62" zoomScaleSheetLayoutView="100" workbookViewId="0" topLeftCell="A1">
      <selection activeCell="A1" sqref="A1:AK1"/>
    </sheetView>
  </sheetViews>
  <sheetFormatPr defaultColWidth="9.00390625" defaultRowHeight="14.25"/>
  <cols>
    <col min="3" max="3" width="17.50390625" style="0" customWidth="1"/>
    <col min="7" max="7" width="14.25390625" style="0" customWidth="1"/>
    <col min="8" max="8" width="43.25390625" style="0" customWidth="1"/>
    <col min="12" max="14" width="14.50390625" style="0" customWidth="1"/>
    <col min="15" max="15" width="8.50390625" style="0" customWidth="1"/>
    <col min="16" max="16" width="12.875" style="0" customWidth="1"/>
    <col min="17" max="19" width="8.50390625" style="0" customWidth="1"/>
    <col min="20" max="20" width="15.00390625" style="0" customWidth="1"/>
    <col min="21" max="22" width="15.00390625" style="1" customWidth="1"/>
    <col min="23" max="23" width="11.875" style="1" customWidth="1"/>
    <col min="24" max="24" width="16.00390625" style="1" customWidth="1"/>
    <col min="25" max="25" width="8.50390625" style="1" customWidth="1"/>
    <col min="26" max="26" width="12.875" style="1" customWidth="1"/>
    <col min="27" max="29" width="17.375" style="1" customWidth="1"/>
    <col min="30" max="30" width="8.50390625" style="1" hidden="1" customWidth="1"/>
    <col min="31" max="36" width="9.00390625" style="1" hidden="1" customWidth="1"/>
    <col min="37" max="37" width="15.875" style="1" customWidth="1"/>
  </cols>
  <sheetData>
    <row r="1" spans="1:38" ht="34.5">
      <c r="A1" s="2" t="s">
        <v>0</v>
      </c>
      <c r="B1" s="2"/>
      <c r="C1" s="2"/>
      <c r="D1" s="2"/>
      <c r="E1" s="2"/>
      <c r="F1" s="2"/>
      <c r="G1" s="2"/>
      <c r="H1" s="2"/>
      <c r="I1" s="2"/>
      <c r="J1" s="2"/>
      <c r="K1" s="2"/>
      <c r="L1" s="2"/>
      <c r="M1" s="2"/>
      <c r="N1" s="2"/>
      <c r="O1" s="2"/>
      <c r="P1" s="2"/>
      <c r="Q1" s="2"/>
      <c r="R1" s="2"/>
      <c r="S1" s="2"/>
      <c r="T1" s="2"/>
      <c r="U1" s="28"/>
      <c r="V1" s="28"/>
      <c r="W1" s="28"/>
      <c r="X1" s="29"/>
      <c r="Y1" s="29"/>
      <c r="Z1" s="29"/>
      <c r="AA1" s="29"/>
      <c r="AB1" s="29"/>
      <c r="AC1" s="29"/>
      <c r="AD1" s="29"/>
      <c r="AE1" s="29"/>
      <c r="AF1" s="29"/>
      <c r="AG1" s="29"/>
      <c r="AH1" s="29"/>
      <c r="AI1" s="29"/>
      <c r="AJ1" s="29"/>
      <c r="AK1" s="29"/>
      <c r="AL1" s="47"/>
    </row>
    <row r="2" spans="1:38" ht="20.25">
      <c r="A2" s="3" t="s">
        <v>1</v>
      </c>
      <c r="B2" s="3" t="s">
        <v>2</v>
      </c>
      <c r="C2" s="3" t="s">
        <v>3</v>
      </c>
      <c r="D2" s="3" t="s">
        <v>4</v>
      </c>
      <c r="E2" s="3" t="s">
        <v>5</v>
      </c>
      <c r="F2" s="4" t="s">
        <v>6</v>
      </c>
      <c r="G2" s="4" t="s">
        <v>7</v>
      </c>
      <c r="H2" s="4" t="s">
        <v>8</v>
      </c>
      <c r="I2" s="21" t="s">
        <v>9</v>
      </c>
      <c r="J2" s="21" t="s">
        <v>10</v>
      </c>
      <c r="K2" s="3" t="s">
        <v>11</v>
      </c>
      <c r="L2" s="22" t="s">
        <v>12</v>
      </c>
      <c r="M2" s="22"/>
      <c r="N2" s="22"/>
      <c r="O2" s="22"/>
      <c r="P2" s="22"/>
      <c r="Q2" s="22"/>
      <c r="R2" s="22"/>
      <c r="S2" s="22"/>
      <c r="T2" s="22"/>
      <c r="U2" s="30"/>
      <c r="V2" s="30"/>
      <c r="W2" s="30"/>
      <c r="X2" s="31" t="s">
        <v>13</v>
      </c>
      <c r="Y2" s="40" t="s">
        <v>14</v>
      </c>
      <c r="Z2" s="40"/>
      <c r="AA2" s="40"/>
      <c r="AB2" s="40"/>
      <c r="AC2" s="40"/>
      <c r="AD2" s="41"/>
      <c r="AE2" s="42"/>
      <c r="AF2" s="42"/>
      <c r="AG2" s="42"/>
      <c r="AH2" s="42"/>
      <c r="AI2" s="42"/>
      <c r="AJ2" s="42"/>
      <c r="AK2" s="31" t="s">
        <v>15</v>
      </c>
      <c r="AL2" s="48" t="s">
        <v>16</v>
      </c>
    </row>
    <row r="3" spans="1:38" ht="20.25">
      <c r="A3" s="5"/>
      <c r="B3" s="5"/>
      <c r="C3" s="5"/>
      <c r="D3" s="5"/>
      <c r="E3" s="5"/>
      <c r="F3" s="4"/>
      <c r="G3" s="4"/>
      <c r="H3" s="4"/>
      <c r="I3" s="23"/>
      <c r="J3" s="23"/>
      <c r="K3" s="5"/>
      <c r="L3" s="4" t="s">
        <v>17</v>
      </c>
      <c r="M3" s="22" t="s">
        <v>18</v>
      </c>
      <c r="N3" s="22"/>
      <c r="O3" s="22"/>
      <c r="P3" s="22"/>
      <c r="Q3" s="22"/>
      <c r="R3" s="22"/>
      <c r="S3" s="22"/>
      <c r="T3" s="4" t="s">
        <v>19</v>
      </c>
      <c r="U3" s="32" t="s">
        <v>20</v>
      </c>
      <c r="V3" s="32" t="s">
        <v>21</v>
      </c>
      <c r="W3" s="32" t="s">
        <v>22</v>
      </c>
      <c r="X3" s="33"/>
      <c r="Y3" s="43" t="s">
        <v>23</v>
      </c>
      <c r="Z3" s="43" t="s">
        <v>24</v>
      </c>
      <c r="AA3" s="43" t="s">
        <v>25</v>
      </c>
      <c r="AB3" s="43" t="s">
        <v>26</v>
      </c>
      <c r="AC3" s="43" t="s">
        <v>27</v>
      </c>
      <c r="AD3" s="43" t="s">
        <v>28</v>
      </c>
      <c r="AE3" s="43" t="s">
        <v>29</v>
      </c>
      <c r="AF3" s="43" t="s">
        <v>30</v>
      </c>
      <c r="AG3" s="43" t="s">
        <v>31</v>
      </c>
      <c r="AH3" s="43" t="s">
        <v>32</v>
      </c>
      <c r="AI3" s="43" t="s">
        <v>33</v>
      </c>
      <c r="AJ3" s="43" t="s">
        <v>34</v>
      </c>
      <c r="AK3" s="33"/>
      <c r="AL3" s="49"/>
    </row>
    <row r="4" spans="1:38" ht="101.25">
      <c r="A4" s="6"/>
      <c r="B4" s="6"/>
      <c r="C4" s="6"/>
      <c r="D4" s="6"/>
      <c r="E4" s="6"/>
      <c r="F4" s="4"/>
      <c r="G4" s="4"/>
      <c r="H4" s="4"/>
      <c r="I4" s="24"/>
      <c r="J4" s="24"/>
      <c r="K4" s="6"/>
      <c r="L4" s="4"/>
      <c r="M4" s="4" t="s">
        <v>35</v>
      </c>
      <c r="N4" s="25" t="s">
        <v>36</v>
      </c>
      <c r="O4" s="25" t="s">
        <v>37</v>
      </c>
      <c r="P4" s="25" t="s">
        <v>38</v>
      </c>
      <c r="Q4" s="25" t="s">
        <v>39</v>
      </c>
      <c r="R4" s="25" t="s">
        <v>40</v>
      </c>
      <c r="S4" s="25" t="s">
        <v>41</v>
      </c>
      <c r="T4" s="4"/>
      <c r="U4" s="32"/>
      <c r="V4" s="32"/>
      <c r="W4" s="32"/>
      <c r="X4" s="34"/>
      <c r="Y4" s="43"/>
      <c r="Z4" s="43"/>
      <c r="AA4" s="43"/>
      <c r="AB4" s="43"/>
      <c r="AC4" s="43"/>
      <c r="AD4" s="43"/>
      <c r="AE4" s="43"/>
      <c r="AF4" s="43"/>
      <c r="AG4" s="43"/>
      <c r="AH4" s="43"/>
      <c r="AI4" s="43"/>
      <c r="AJ4" s="43"/>
      <c r="AK4" s="34"/>
      <c r="AL4" s="50"/>
    </row>
    <row r="5" spans="1:38" ht="20.25">
      <c r="A5" s="7" t="s">
        <v>17</v>
      </c>
      <c r="B5" s="8"/>
      <c r="C5" s="9"/>
      <c r="D5" s="10"/>
      <c r="E5" s="10"/>
      <c r="F5" s="10"/>
      <c r="G5" s="10"/>
      <c r="H5" s="11"/>
      <c r="I5" s="11"/>
      <c r="J5" s="11"/>
      <c r="K5" s="26"/>
      <c r="L5" s="26">
        <f aca="true" t="shared" si="0" ref="L5:AK5">L6+L43+L73+L89+L91</f>
        <v>64663.65</v>
      </c>
      <c r="M5" s="26">
        <f t="shared" si="0"/>
        <v>62651.8</v>
      </c>
      <c r="N5" s="26">
        <f t="shared" si="0"/>
        <v>59040.8</v>
      </c>
      <c r="O5" s="26">
        <f t="shared" si="0"/>
        <v>2246</v>
      </c>
      <c r="P5" s="26">
        <f t="shared" si="0"/>
        <v>1365</v>
      </c>
      <c r="Q5" s="26">
        <f t="shared" si="0"/>
        <v>0</v>
      </c>
      <c r="R5" s="26">
        <f t="shared" si="0"/>
        <v>0</v>
      </c>
      <c r="S5" s="26">
        <f t="shared" si="0"/>
        <v>0</v>
      </c>
      <c r="T5" s="26">
        <f t="shared" si="0"/>
        <v>1726.85</v>
      </c>
      <c r="U5" s="35">
        <f t="shared" si="0"/>
        <v>0</v>
      </c>
      <c r="V5" s="35">
        <f t="shared" si="0"/>
        <v>285</v>
      </c>
      <c r="W5" s="35">
        <f t="shared" si="0"/>
        <v>0</v>
      </c>
      <c r="X5" s="36">
        <f t="shared" si="0"/>
        <v>7121.621573</v>
      </c>
      <c r="Y5" s="36">
        <f t="shared" si="0"/>
        <v>0</v>
      </c>
      <c r="Z5" s="36">
        <f t="shared" si="0"/>
        <v>495.82640000000004</v>
      </c>
      <c r="AA5" s="36">
        <f t="shared" si="0"/>
        <v>8227.245386</v>
      </c>
      <c r="AB5" s="36">
        <f t="shared" si="0"/>
        <v>15245.042168</v>
      </c>
      <c r="AC5" s="36">
        <f t="shared" si="0"/>
        <v>3690.6805269999995</v>
      </c>
      <c r="AD5" s="36">
        <f t="shared" si="0"/>
        <v>0</v>
      </c>
      <c r="AE5" s="36">
        <f t="shared" si="0"/>
        <v>0</v>
      </c>
      <c r="AF5" s="36">
        <f t="shared" si="0"/>
        <v>0</v>
      </c>
      <c r="AG5" s="36">
        <f t="shared" si="0"/>
        <v>0</v>
      </c>
      <c r="AH5" s="36">
        <f t="shared" si="0"/>
        <v>0</v>
      </c>
      <c r="AI5" s="36">
        <f t="shared" si="0"/>
        <v>0</v>
      </c>
      <c r="AJ5" s="36">
        <f t="shared" si="0"/>
        <v>0</v>
      </c>
      <c r="AK5" s="36">
        <f t="shared" si="0"/>
        <v>27658.794480999997</v>
      </c>
      <c r="AL5" s="51">
        <f aca="true" t="shared" si="1" ref="AL5:AL24">AK5/L5</f>
        <v>0.427733270253071</v>
      </c>
    </row>
    <row r="6" spans="1:38" ht="20.25">
      <c r="A6" s="12" t="s">
        <v>42</v>
      </c>
      <c r="B6" s="8" t="s">
        <v>43</v>
      </c>
      <c r="C6" s="9"/>
      <c r="D6" s="10"/>
      <c r="E6" s="10"/>
      <c r="F6" s="10"/>
      <c r="G6" s="10"/>
      <c r="H6" s="11"/>
      <c r="I6" s="11"/>
      <c r="J6" s="11"/>
      <c r="K6" s="26"/>
      <c r="L6" s="26">
        <f aca="true" t="shared" si="2" ref="L6:AK6">SUM(L7:L17)+SUM(L21:L24)+SUM(L33:L42)</f>
        <v>41818.606</v>
      </c>
      <c r="M6" s="26">
        <f t="shared" si="2"/>
        <v>41533.606</v>
      </c>
      <c r="N6" s="26">
        <f t="shared" si="2"/>
        <v>37984.5</v>
      </c>
      <c r="O6" s="26">
        <f t="shared" si="2"/>
        <v>2246</v>
      </c>
      <c r="P6" s="26">
        <f t="shared" si="2"/>
        <v>1303.106</v>
      </c>
      <c r="Q6" s="26">
        <f t="shared" si="2"/>
        <v>0</v>
      </c>
      <c r="R6" s="26">
        <f t="shared" si="2"/>
        <v>0</v>
      </c>
      <c r="S6" s="26">
        <f t="shared" si="2"/>
        <v>0</v>
      </c>
      <c r="T6" s="26">
        <f t="shared" si="2"/>
        <v>0</v>
      </c>
      <c r="U6" s="35">
        <f t="shared" si="2"/>
        <v>0</v>
      </c>
      <c r="V6" s="35">
        <f t="shared" si="2"/>
        <v>285</v>
      </c>
      <c r="W6" s="35">
        <f t="shared" si="2"/>
        <v>0</v>
      </c>
      <c r="X6" s="35">
        <f t="shared" si="2"/>
        <v>3430.94844</v>
      </c>
      <c r="Y6" s="35">
        <f t="shared" si="2"/>
        <v>0</v>
      </c>
      <c r="Z6" s="35">
        <f t="shared" si="2"/>
        <v>129.3584</v>
      </c>
      <c r="AA6" s="35">
        <f t="shared" si="2"/>
        <v>5954.210656</v>
      </c>
      <c r="AB6" s="35">
        <f t="shared" si="2"/>
        <v>10427.514056</v>
      </c>
      <c r="AC6" s="35">
        <f t="shared" si="2"/>
        <v>1090.382586</v>
      </c>
      <c r="AD6" s="35">
        <f t="shared" si="2"/>
        <v>0</v>
      </c>
      <c r="AE6" s="35">
        <f t="shared" si="2"/>
        <v>0</v>
      </c>
      <c r="AF6" s="35">
        <f t="shared" si="2"/>
        <v>0</v>
      </c>
      <c r="AG6" s="35">
        <f t="shared" si="2"/>
        <v>0</v>
      </c>
      <c r="AH6" s="35">
        <f t="shared" si="2"/>
        <v>0</v>
      </c>
      <c r="AI6" s="35">
        <f t="shared" si="2"/>
        <v>0</v>
      </c>
      <c r="AJ6" s="35">
        <f t="shared" si="2"/>
        <v>0</v>
      </c>
      <c r="AK6" s="35">
        <f t="shared" si="2"/>
        <v>17601.465698</v>
      </c>
      <c r="AL6" s="51">
        <f t="shared" si="1"/>
        <v>0.4209003451238906</v>
      </c>
    </row>
    <row r="7" spans="1:38" ht="96" customHeight="1">
      <c r="A7" s="13">
        <v>1</v>
      </c>
      <c r="B7" s="13" t="s">
        <v>44</v>
      </c>
      <c r="C7" s="13" t="s">
        <v>45</v>
      </c>
      <c r="D7" s="14" t="s">
        <v>46</v>
      </c>
      <c r="E7" s="14" t="s">
        <v>47</v>
      </c>
      <c r="F7" s="14" t="s">
        <v>48</v>
      </c>
      <c r="G7" s="13" t="s">
        <v>49</v>
      </c>
      <c r="H7" s="15" t="s">
        <v>50</v>
      </c>
      <c r="I7" s="14" t="s">
        <v>51</v>
      </c>
      <c r="J7" s="14">
        <v>6359.7</v>
      </c>
      <c r="K7" s="13" t="s">
        <v>52</v>
      </c>
      <c r="L7" s="14">
        <f aca="true" t="shared" si="3" ref="L7:L20">M7+T7+U7+V7+W7</f>
        <v>900</v>
      </c>
      <c r="M7" s="14">
        <f aca="true" t="shared" si="4" ref="M7:M16">N7+O7+P7+Q7+R7+S7</f>
        <v>900</v>
      </c>
      <c r="N7" s="14">
        <f>1170-165-100-5</f>
        <v>900</v>
      </c>
      <c r="O7" s="13"/>
      <c r="P7" s="13"/>
      <c r="Q7" s="13"/>
      <c r="R7" s="13"/>
      <c r="S7" s="13"/>
      <c r="T7" s="13"/>
      <c r="U7" s="37"/>
      <c r="V7" s="37"/>
      <c r="W7" s="37"/>
      <c r="X7" s="38"/>
      <c r="Y7" s="44"/>
      <c r="Z7" s="44"/>
      <c r="AA7" s="44">
        <v>81.1</v>
      </c>
      <c r="AB7" s="44">
        <v>64.88</v>
      </c>
      <c r="AC7" s="44"/>
      <c r="AD7" s="44"/>
      <c r="AE7" s="44"/>
      <c r="AF7" s="44"/>
      <c r="AG7" s="44"/>
      <c r="AH7" s="44"/>
      <c r="AI7" s="44"/>
      <c r="AJ7" s="44"/>
      <c r="AK7" s="44">
        <f aca="true" t="shared" si="5" ref="AK7:AK16">SUM(Y7:AJ7)</f>
        <v>145.98</v>
      </c>
      <c r="AL7" s="52">
        <f t="shared" si="1"/>
        <v>0.16219999999999998</v>
      </c>
    </row>
    <row r="8" spans="1:38" ht="96" customHeight="1">
      <c r="A8" s="14">
        <v>2</v>
      </c>
      <c r="B8" s="14" t="s">
        <v>53</v>
      </c>
      <c r="C8" s="13" t="s">
        <v>54</v>
      </c>
      <c r="D8" s="14" t="s">
        <v>46</v>
      </c>
      <c r="E8" s="14" t="s">
        <v>55</v>
      </c>
      <c r="F8" s="14" t="s">
        <v>48</v>
      </c>
      <c r="G8" s="13" t="s">
        <v>56</v>
      </c>
      <c r="H8" s="15" t="s">
        <v>57</v>
      </c>
      <c r="I8" s="14" t="s">
        <v>58</v>
      </c>
      <c r="J8" s="14">
        <v>1</v>
      </c>
      <c r="K8" s="14" t="s">
        <v>59</v>
      </c>
      <c r="L8" s="14">
        <f t="shared" si="3"/>
        <v>7000</v>
      </c>
      <c r="M8" s="14">
        <f t="shared" si="4"/>
        <v>7000</v>
      </c>
      <c r="N8" s="14">
        <v>7000</v>
      </c>
      <c r="O8" s="14"/>
      <c r="P8" s="14"/>
      <c r="Q8" s="14"/>
      <c r="R8" s="14"/>
      <c r="S8" s="14"/>
      <c r="T8" s="14"/>
      <c r="U8" s="39"/>
      <c r="V8" s="39"/>
      <c r="W8" s="39"/>
      <c r="X8" s="38">
        <v>500</v>
      </c>
      <c r="Y8" s="38"/>
      <c r="Z8" s="38"/>
      <c r="AA8" s="38">
        <v>227.0951</v>
      </c>
      <c r="AB8" s="38">
        <v>1953.473898</v>
      </c>
      <c r="AC8" s="38"/>
      <c r="AD8" s="38"/>
      <c r="AE8" s="38"/>
      <c r="AF8" s="38"/>
      <c r="AG8" s="38"/>
      <c r="AH8" s="38"/>
      <c r="AI8" s="38"/>
      <c r="AJ8" s="38"/>
      <c r="AK8" s="44">
        <f t="shared" si="5"/>
        <v>2180.5689979999997</v>
      </c>
      <c r="AL8" s="52">
        <f t="shared" si="1"/>
        <v>0.31150985685714283</v>
      </c>
    </row>
    <row r="9" spans="1:38" ht="96" customHeight="1">
      <c r="A9" s="14">
        <v>3</v>
      </c>
      <c r="B9" s="14" t="s">
        <v>60</v>
      </c>
      <c r="C9" s="13" t="s">
        <v>61</v>
      </c>
      <c r="D9" s="14" t="s">
        <v>46</v>
      </c>
      <c r="E9" s="14" t="s">
        <v>55</v>
      </c>
      <c r="F9" s="14" t="s">
        <v>48</v>
      </c>
      <c r="G9" s="13" t="s">
        <v>62</v>
      </c>
      <c r="H9" s="15" t="s">
        <v>63</v>
      </c>
      <c r="I9" s="14" t="s">
        <v>58</v>
      </c>
      <c r="J9" s="14">
        <v>1</v>
      </c>
      <c r="K9" s="14" t="s">
        <v>59</v>
      </c>
      <c r="L9" s="14">
        <f t="shared" si="3"/>
        <v>2000</v>
      </c>
      <c r="M9" s="14">
        <f t="shared" si="4"/>
        <v>2000</v>
      </c>
      <c r="N9" s="14">
        <v>2000</v>
      </c>
      <c r="O9" s="14"/>
      <c r="P9" s="14"/>
      <c r="Q9" s="14"/>
      <c r="R9" s="14"/>
      <c r="S9" s="14"/>
      <c r="T9" s="14"/>
      <c r="U9" s="39"/>
      <c r="V9" s="39"/>
      <c r="W9" s="39"/>
      <c r="X9" s="38">
        <v>200</v>
      </c>
      <c r="Y9" s="38"/>
      <c r="Z9" s="38"/>
      <c r="AA9" s="38"/>
      <c r="AB9" s="38">
        <v>441.063548</v>
      </c>
      <c r="AC9" s="38"/>
      <c r="AD9" s="38"/>
      <c r="AE9" s="38"/>
      <c r="AF9" s="38"/>
      <c r="AG9" s="38"/>
      <c r="AH9" s="38"/>
      <c r="AI9" s="38"/>
      <c r="AJ9" s="38"/>
      <c r="AK9" s="44">
        <f t="shared" si="5"/>
        <v>441.063548</v>
      </c>
      <c r="AL9" s="52">
        <f t="shared" si="1"/>
        <v>0.220531774</v>
      </c>
    </row>
    <row r="10" spans="1:38" ht="96" customHeight="1">
      <c r="A10" s="14">
        <v>4</v>
      </c>
      <c r="B10" s="14" t="s">
        <v>64</v>
      </c>
      <c r="C10" s="13" t="s">
        <v>65</v>
      </c>
      <c r="D10" s="14" t="s">
        <v>46</v>
      </c>
      <c r="E10" s="14" t="s">
        <v>55</v>
      </c>
      <c r="F10" s="14" t="s">
        <v>48</v>
      </c>
      <c r="G10" s="13" t="s">
        <v>66</v>
      </c>
      <c r="H10" s="15" t="s">
        <v>67</v>
      </c>
      <c r="I10" s="14" t="s">
        <v>58</v>
      </c>
      <c r="J10" s="14">
        <v>1</v>
      </c>
      <c r="K10" s="14" t="s">
        <v>59</v>
      </c>
      <c r="L10" s="14">
        <f t="shared" si="3"/>
        <v>1300</v>
      </c>
      <c r="M10" s="14">
        <f t="shared" si="4"/>
        <v>1300</v>
      </c>
      <c r="N10" s="14">
        <v>1300</v>
      </c>
      <c r="O10" s="14"/>
      <c r="P10" s="14"/>
      <c r="Q10" s="14"/>
      <c r="R10" s="14"/>
      <c r="S10" s="14"/>
      <c r="T10" s="14"/>
      <c r="U10" s="39"/>
      <c r="V10" s="39"/>
      <c r="W10" s="39"/>
      <c r="X10" s="38">
        <v>323.7621</v>
      </c>
      <c r="Y10" s="38"/>
      <c r="Z10" s="38"/>
      <c r="AA10" s="38"/>
      <c r="AB10" s="38">
        <v>14.5984</v>
      </c>
      <c r="AC10" s="38"/>
      <c r="AD10" s="38"/>
      <c r="AE10" s="38"/>
      <c r="AF10" s="38"/>
      <c r="AG10" s="38"/>
      <c r="AH10" s="38"/>
      <c r="AI10" s="38"/>
      <c r="AJ10" s="38"/>
      <c r="AK10" s="44">
        <f t="shared" si="5"/>
        <v>14.5984</v>
      </c>
      <c r="AL10" s="52">
        <f t="shared" si="1"/>
        <v>0.011229538461538461</v>
      </c>
    </row>
    <row r="11" spans="1:38" ht="96" customHeight="1">
      <c r="A11" s="14">
        <v>5</v>
      </c>
      <c r="B11" s="14" t="s">
        <v>68</v>
      </c>
      <c r="C11" s="13" t="s">
        <v>69</v>
      </c>
      <c r="D11" s="14" t="s">
        <v>46</v>
      </c>
      <c r="E11" s="14" t="s">
        <v>55</v>
      </c>
      <c r="F11" s="14" t="s">
        <v>48</v>
      </c>
      <c r="G11" s="13" t="s">
        <v>70</v>
      </c>
      <c r="H11" s="15" t="s">
        <v>71</v>
      </c>
      <c r="I11" s="14" t="s">
        <v>58</v>
      </c>
      <c r="J11" s="14">
        <v>1</v>
      </c>
      <c r="K11" s="14" t="s">
        <v>59</v>
      </c>
      <c r="L11" s="14">
        <f t="shared" si="3"/>
        <v>700</v>
      </c>
      <c r="M11" s="14">
        <f t="shared" si="4"/>
        <v>700</v>
      </c>
      <c r="N11" s="14">
        <v>700</v>
      </c>
      <c r="O11" s="14"/>
      <c r="P11" s="14"/>
      <c r="Q11" s="14"/>
      <c r="R11" s="14"/>
      <c r="S11" s="14"/>
      <c r="T11" s="14"/>
      <c r="U11" s="39"/>
      <c r="V11" s="39"/>
      <c r="W11" s="39"/>
      <c r="X11" s="38">
        <v>100</v>
      </c>
      <c r="Y11" s="38"/>
      <c r="Z11" s="38"/>
      <c r="AA11" s="38"/>
      <c r="AB11" s="38">
        <v>188.7616</v>
      </c>
      <c r="AC11" s="38"/>
      <c r="AD11" s="38"/>
      <c r="AE11" s="38"/>
      <c r="AF11" s="38"/>
      <c r="AG11" s="38"/>
      <c r="AH11" s="38"/>
      <c r="AI11" s="38"/>
      <c r="AJ11" s="38"/>
      <c r="AK11" s="44">
        <f t="shared" si="5"/>
        <v>188.7616</v>
      </c>
      <c r="AL11" s="52">
        <f t="shared" si="1"/>
        <v>0.26965942857142855</v>
      </c>
    </row>
    <row r="12" spans="1:38" ht="96" customHeight="1">
      <c r="A12" s="14">
        <v>6</v>
      </c>
      <c r="B12" s="14" t="s">
        <v>72</v>
      </c>
      <c r="C12" s="13" t="s">
        <v>73</v>
      </c>
      <c r="D12" s="14" t="s">
        <v>46</v>
      </c>
      <c r="E12" s="14" t="s">
        <v>55</v>
      </c>
      <c r="F12" s="14" t="s">
        <v>48</v>
      </c>
      <c r="G12" s="13" t="s">
        <v>74</v>
      </c>
      <c r="H12" s="15" t="s">
        <v>75</v>
      </c>
      <c r="I12" s="14" t="s">
        <v>76</v>
      </c>
      <c r="J12" s="14">
        <v>17934</v>
      </c>
      <c r="K12" s="14" t="s">
        <v>77</v>
      </c>
      <c r="L12" s="14">
        <f t="shared" si="3"/>
        <v>4453.106</v>
      </c>
      <c r="M12" s="14">
        <f t="shared" si="4"/>
        <v>4453.106</v>
      </c>
      <c r="N12" s="14">
        <v>3150</v>
      </c>
      <c r="O12" s="14"/>
      <c r="P12" s="14">
        <v>1303.106</v>
      </c>
      <c r="Q12" s="14"/>
      <c r="R12" s="14"/>
      <c r="S12" s="14"/>
      <c r="T12" s="14"/>
      <c r="U12" s="39"/>
      <c r="V12" s="39"/>
      <c r="W12" s="39"/>
      <c r="X12" s="38">
        <v>0</v>
      </c>
      <c r="Y12" s="38"/>
      <c r="Z12" s="38"/>
      <c r="AA12" s="38"/>
      <c r="AB12" s="38">
        <v>1263.752634</v>
      </c>
      <c r="AC12" s="38"/>
      <c r="AD12" s="38"/>
      <c r="AE12" s="38"/>
      <c r="AF12" s="38"/>
      <c r="AG12" s="38"/>
      <c r="AH12" s="38"/>
      <c r="AI12" s="38"/>
      <c r="AJ12" s="38"/>
      <c r="AK12" s="44">
        <f t="shared" si="5"/>
        <v>1263.752634</v>
      </c>
      <c r="AL12" s="52">
        <f t="shared" si="1"/>
        <v>0.28379127602172505</v>
      </c>
    </row>
    <row r="13" spans="1:38" ht="96" customHeight="1">
      <c r="A13" s="14">
        <v>7</v>
      </c>
      <c r="B13" s="14" t="s">
        <v>78</v>
      </c>
      <c r="C13" s="13" t="s">
        <v>79</v>
      </c>
      <c r="D13" s="14" t="s">
        <v>46</v>
      </c>
      <c r="E13" s="14" t="s">
        <v>80</v>
      </c>
      <c r="F13" s="14" t="s">
        <v>48</v>
      </c>
      <c r="G13" s="13" t="s">
        <v>81</v>
      </c>
      <c r="H13" s="15" t="s">
        <v>82</v>
      </c>
      <c r="I13" s="14" t="s">
        <v>58</v>
      </c>
      <c r="J13" s="14">
        <v>1</v>
      </c>
      <c r="K13" s="14" t="s">
        <v>83</v>
      </c>
      <c r="L13" s="14">
        <f t="shared" si="3"/>
        <v>1985</v>
      </c>
      <c r="M13" s="14">
        <f t="shared" si="4"/>
        <v>1700</v>
      </c>
      <c r="N13" s="14">
        <v>1700</v>
      </c>
      <c r="O13" s="14"/>
      <c r="P13" s="14"/>
      <c r="Q13" s="14"/>
      <c r="R13" s="14"/>
      <c r="S13" s="14"/>
      <c r="T13" s="14"/>
      <c r="U13" s="39"/>
      <c r="V13" s="39">
        <v>285</v>
      </c>
      <c r="W13" s="39"/>
      <c r="X13" s="38">
        <v>320</v>
      </c>
      <c r="Y13" s="38"/>
      <c r="Z13" s="38"/>
      <c r="AA13" s="38">
        <f>478.3824+1.02</f>
        <v>479.4024</v>
      </c>
      <c r="AB13" s="38">
        <v>478.3824</v>
      </c>
      <c r="AC13" s="38"/>
      <c r="AD13" s="38"/>
      <c r="AE13" s="38"/>
      <c r="AF13" s="38"/>
      <c r="AG13" s="38"/>
      <c r="AH13" s="38"/>
      <c r="AI13" s="38"/>
      <c r="AJ13" s="38"/>
      <c r="AK13" s="44">
        <f t="shared" si="5"/>
        <v>957.7848</v>
      </c>
      <c r="AL13" s="52">
        <f t="shared" si="1"/>
        <v>0.48251123425692694</v>
      </c>
    </row>
    <row r="14" spans="1:38" ht="96" customHeight="1">
      <c r="A14" s="14">
        <v>8</v>
      </c>
      <c r="B14" s="14" t="s">
        <v>84</v>
      </c>
      <c r="C14" s="13" t="s">
        <v>85</v>
      </c>
      <c r="D14" s="14" t="s">
        <v>46</v>
      </c>
      <c r="E14" s="14" t="s">
        <v>80</v>
      </c>
      <c r="F14" s="14" t="s">
        <v>48</v>
      </c>
      <c r="G14" s="13" t="s">
        <v>86</v>
      </c>
      <c r="H14" s="15" t="s">
        <v>87</v>
      </c>
      <c r="I14" s="14" t="s">
        <v>58</v>
      </c>
      <c r="J14" s="14">
        <v>1</v>
      </c>
      <c r="K14" s="14" t="s">
        <v>83</v>
      </c>
      <c r="L14" s="14">
        <f t="shared" si="3"/>
        <v>390</v>
      </c>
      <c r="M14" s="14">
        <f t="shared" si="4"/>
        <v>390</v>
      </c>
      <c r="N14" s="14">
        <v>390</v>
      </c>
      <c r="O14" s="14"/>
      <c r="P14" s="14"/>
      <c r="Q14" s="14"/>
      <c r="R14" s="14"/>
      <c r="S14" s="14"/>
      <c r="T14" s="14"/>
      <c r="U14" s="39"/>
      <c r="V14" s="39"/>
      <c r="W14" s="39"/>
      <c r="X14" s="38">
        <v>74</v>
      </c>
      <c r="Y14" s="38"/>
      <c r="Z14" s="38"/>
      <c r="AA14" s="38">
        <v>0.18</v>
      </c>
      <c r="AB14" s="38">
        <v>208.63821</v>
      </c>
      <c r="AC14" s="38"/>
      <c r="AD14" s="38"/>
      <c r="AE14" s="38"/>
      <c r="AF14" s="38"/>
      <c r="AG14" s="38"/>
      <c r="AH14" s="38"/>
      <c r="AI14" s="38"/>
      <c r="AJ14" s="38"/>
      <c r="AK14" s="44">
        <f t="shared" si="5"/>
        <v>208.81821</v>
      </c>
      <c r="AL14" s="52">
        <f t="shared" si="1"/>
        <v>0.5354313076923076</v>
      </c>
    </row>
    <row r="15" spans="1:38" ht="96" customHeight="1">
      <c r="A15" s="14">
        <v>9</v>
      </c>
      <c r="B15" s="14" t="s">
        <v>88</v>
      </c>
      <c r="C15" s="13" t="s">
        <v>89</v>
      </c>
      <c r="D15" s="14" t="s">
        <v>46</v>
      </c>
      <c r="E15" s="14" t="s">
        <v>47</v>
      </c>
      <c r="F15" s="14" t="s">
        <v>48</v>
      </c>
      <c r="G15" s="13" t="s">
        <v>90</v>
      </c>
      <c r="H15" s="15" t="s">
        <v>91</v>
      </c>
      <c r="I15" s="14" t="s">
        <v>51</v>
      </c>
      <c r="J15" s="14">
        <v>100000</v>
      </c>
      <c r="K15" s="14" t="s">
        <v>92</v>
      </c>
      <c r="L15" s="14">
        <f t="shared" si="3"/>
        <v>5000</v>
      </c>
      <c r="M15" s="14">
        <f t="shared" si="4"/>
        <v>5000</v>
      </c>
      <c r="N15" s="14">
        <v>5000</v>
      </c>
      <c r="O15" s="14"/>
      <c r="P15" s="14"/>
      <c r="Q15" s="14"/>
      <c r="R15" s="14"/>
      <c r="S15" s="14"/>
      <c r="T15" s="14"/>
      <c r="U15" s="39"/>
      <c r="V15" s="39"/>
      <c r="W15" s="39"/>
      <c r="X15" s="38">
        <v>0</v>
      </c>
      <c r="Y15" s="38"/>
      <c r="Z15" s="38"/>
      <c r="AA15" s="38">
        <v>1736.6006</v>
      </c>
      <c r="AB15" s="38">
        <v>2172.06022</v>
      </c>
      <c r="AC15" s="38"/>
      <c r="AD15" s="38"/>
      <c r="AE15" s="38"/>
      <c r="AF15" s="38"/>
      <c r="AG15" s="38"/>
      <c r="AH15" s="38"/>
      <c r="AI15" s="38"/>
      <c r="AJ15" s="38"/>
      <c r="AK15" s="44">
        <f t="shared" si="5"/>
        <v>3908.66082</v>
      </c>
      <c r="AL15" s="52">
        <f t="shared" si="1"/>
        <v>0.781732164</v>
      </c>
    </row>
    <row r="16" spans="1:38" ht="96" customHeight="1">
      <c r="A16" s="14">
        <v>10</v>
      </c>
      <c r="B16" s="14" t="s">
        <v>93</v>
      </c>
      <c r="C16" s="13" t="s">
        <v>94</v>
      </c>
      <c r="D16" s="14" t="s">
        <v>46</v>
      </c>
      <c r="E16" s="14" t="s">
        <v>47</v>
      </c>
      <c r="F16" s="14" t="s">
        <v>48</v>
      </c>
      <c r="G16" s="13" t="s">
        <v>90</v>
      </c>
      <c r="H16" s="15" t="s">
        <v>95</v>
      </c>
      <c r="I16" s="14" t="s">
        <v>51</v>
      </c>
      <c r="J16" s="14">
        <v>25000</v>
      </c>
      <c r="K16" s="14" t="s">
        <v>92</v>
      </c>
      <c r="L16" s="14">
        <f t="shared" si="3"/>
        <v>1200</v>
      </c>
      <c r="M16" s="14">
        <f t="shared" si="4"/>
        <v>1200</v>
      </c>
      <c r="N16" s="14">
        <v>1200</v>
      </c>
      <c r="O16" s="14"/>
      <c r="P16" s="14"/>
      <c r="Q16" s="14"/>
      <c r="R16" s="14"/>
      <c r="S16" s="14"/>
      <c r="T16" s="14"/>
      <c r="U16" s="39"/>
      <c r="V16" s="39"/>
      <c r="W16" s="39"/>
      <c r="X16" s="38">
        <v>0</v>
      </c>
      <c r="Y16" s="38"/>
      <c r="Z16" s="38"/>
      <c r="AA16" s="38">
        <v>1160.66</v>
      </c>
      <c r="AB16" s="38">
        <v>20.31162</v>
      </c>
      <c r="AC16" s="38"/>
      <c r="AD16" s="38"/>
      <c r="AE16" s="38"/>
      <c r="AF16" s="38"/>
      <c r="AG16" s="38"/>
      <c r="AH16" s="38"/>
      <c r="AI16" s="38"/>
      <c r="AJ16" s="38"/>
      <c r="AK16" s="44">
        <f t="shared" si="5"/>
        <v>1180.97162</v>
      </c>
      <c r="AL16" s="52">
        <f t="shared" si="1"/>
        <v>0.9841430166666667</v>
      </c>
    </row>
    <row r="17" spans="1:38" ht="129.75" customHeight="1">
      <c r="A17" s="16">
        <v>11</v>
      </c>
      <c r="B17" s="16" t="s">
        <v>96</v>
      </c>
      <c r="C17" s="17" t="s">
        <v>97</v>
      </c>
      <c r="D17" s="16" t="s">
        <v>46</v>
      </c>
      <c r="E17" s="16" t="s">
        <v>98</v>
      </c>
      <c r="F17" s="16" t="s">
        <v>48</v>
      </c>
      <c r="G17" s="17" t="s">
        <v>99</v>
      </c>
      <c r="H17" s="18" t="s">
        <v>100</v>
      </c>
      <c r="I17" s="16" t="s">
        <v>101</v>
      </c>
      <c r="J17" s="16">
        <v>645</v>
      </c>
      <c r="K17" s="16" t="s">
        <v>102</v>
      </c>
      <c r="L17" s="16">
        <f t="shared" si="3"/>
        <v>64.5</v>
      </c>
      <c r="M17" s="16">
        <f aca="true" t="shared" si="6" ref="M17:AK17">SUM(M18:M20)</f>
        <v>64.5</v>
      </c>
      <c r="N17" s="16">
        <f t="shared" si="6"/>
        <v>64.5</v>
      </c>
      <c r="O17" s="16">
        <f t="shared" si="6"/>
        <v>0</v>
      </c>
      <c r="P17" s="16">
        <f t="shared" si="6"/>
        <v>0</v>
      </c>
      <c r="Q17" s="16">
        <f t="shared" si="6"/>
        <v>0</v>
      </c>
      <c r="R17" s="16">
        <f t="shared" si="6"/>
        <v>0</v>
      </c>
      <c r="S17" s="16">
        <f t="shared" si="6"/>
        <v>0</v>
      </c>
      <c r="T17" s="16">
        <f t="shared" si="6"/>
        <v>0</v>
      </c>
      <c r="U17" s="39">
        <f t="shared" si="6"/>
        <v>0</v>
      </c>
      <c r="V17" s="39">
        <f t="shared" si="6"/>
        <v>0</v>
      </c>
      <c r="W17" s="39">
        <f t="shared" si="6"/>
        <v>0</v>
      </c>
      <c r="X17" s="39">
        <f t="shared" si="6"/>
        <v>6.44</v>
      </c>
      <c r="Y17" s="39">
        <f t="shared" si="6"/>
        <v>0</v>
      </c>
      <c r="Z17" s="39">
        <f t="shared" si="6"/>
        <v>0</v>
      </c>
      <c r="AA17" s="39">
        <f t="shared" si="6"/>
        <v>0</v>
      </c>
      <c r="AB17" s="39">
        <f t="shared" si="6"/>
        <v>30.450000000000003</v>
      </c>
      <c r="AC17" s="39">
        <f t="shared" si="6"/>
        <v>6.44</v>
      </c>
      <c r="AD17" s="39">
        <f t="shared" si="6"/>
        <v>0</v>
      </c>
      <c r="AE17" s="39">
        <f t="shared" si="6"/>
        <v>0</v>
      </c>
      <c r="AF17" s="39">
        <f t="shared" si="6"/>
        <v>0</v>
      </c>
      <c r="AG17" s="39">
        <f t="shared" si="6"/>
        <v>0</v>
      </c>
      <c r="AH17" s="39">
        <f t="shared" si="6"/>
        <v>0</v>
      </c>
      <c r="AI17" s="39">
        <f t="shared" si="6"/>
        <v>0</v>
      </c>
      <c r="AJ17" s="39">
        <f t="shared" si="6"/>
        <v>0</v>
      </c>
      <c r="AK17" s="39">
        <f t="shared" si="6"/>
        <v>36.89</v>
      </c>
      <c r="AL17" s="53">
        <f t="shared" si="1"/>
        <v>0.571937984496124</v>
      </c>
    </row>
    <row r="18" spans="1:38" ht="60" customHeight="1">
      <c r="A18" s="14"/>
      <c r="B18" s="14"/>
      <c r="C18" s="13"/>
      <c r="D18" s="14"/>
      <c r="E18" s="14"/>
      <c r="F18" s="14"/>
      <c r="G18" s="13"/>
      <c r="H18" s="15"/>
      <c r="I18" s="14"/>
      <c r="J18" s="14"/>
      <c r="K18" s="14" t="s">
        <v>103</v>
      </c>
      <c r="L18" s="14">
        <f t="shared" si="3"/>
        <v>37.2</v>
      </c>
      <c r="M18" s="14">
        <f aca="true" t="shared" si="7" ref="M18:M20">N18+O18+P18+Q18+R18+S18</f>
        <v>37.2</v>
      </c>
      <c r="N18" s="14">
        <v>37.2</v>
      </c>
      <c r="O18" s="14"/>
      <c r="P18" s="14"/>
      <c r="Q18" s="14"/>
      <c r="R18" s="14"/>
      <c r="S18" s="14"/>
      <c r="T18" s="14"/>
      <c r="U18" s="39"/>
      <c r="V18" s="39"/>
      <c r="W18" s="39"/>
      <c r="X18" s="38"/>
      <c r="Y18" s="38"/>
      <c r="Z18" s="38"/>
      <c r="AA18" s="38"/>
      <c r="AB18" s="38">
        <v>18.35</v>
      </c>
      <c r="AC18" s="38"/>
      <c r="AD18" s="38"/>
      <c r="AE18" s="38"/>
      <c r="AF18" s="38"/>
      <c r="AG18" s="38"/>
      <c r="AH18" s="38"/>
      <c r="AI18" s="38"/>
      <c r="AJ18" s="38"/>
      <c r="AK18" s="44">
        <f aca="true" t="shared" si="8" ref="AK18:AK23">SUM(Y18:AJ18)</f>
        <v>18.35</v>
      </c>
      <c r="AL18" s="52">
        <f t="shared" si="1"/>
        <v>0.4932795698924731</v>
      </c>
    </row>
    <row r="19" spans="1:38" ht="60" customHeight="1">
      <c r="A19" s="14"/>
      <c r="B19" s="14"/>
      <c r="C19" s="13"/>
      <c r="D19" s="14"/>
      <c r="E19" s="14"/>
      <c r="F19" s="14"/>
      <c r="G19" s="13"/>
      <c r="H19" s="15"/>
      <c r="I19" s="14"/>
      <c r="J19" s="14"/>
      <c r="K19" s="14" t="s">
        <v>104</v>
      </c>
      <c r="L19" s="14">
        <f t="shared" si="3"/>
        <v>8.8</v>
      </c>
      <c r="M19" s="14">
        <f t="shared" si="7"/>
        <v>8.8</v>
      </c>
      <c r="N19" s="14">
        <v>8.8</v>
      </c>
      <c r="O19" s="14"/>
      <c r="P19" s="14"/>
      <c r="Q19" s="14"/>
      <c r="R19" s="14"/>
      <c r="S19" s="14"/>
      <c r="T19" s="14"/>
      <c r="U19" s="39"/>
      <c r="V19" s="39"/>
      <c r="W19" s="39"/>
      <c r="X19" s="38"/>
      <c r="Y19" s="38"/>
      <c r="Z19" s="38"/>
      <c r="AA19" s="38"/>
      <c r="AB19" s="38">
        <v>4.05</v>
      </c>
      <c r="AC19" s="38"/>
      <c r="AD19" s="38"/>
      <c r="AE19" s="38"/>
      <c r="AF19" s="38"/>
      <c r="AG19" s="38"/>
      <c r="AH19" s="38"/>
      <c r="AI19" s="38"/>
      <c r="AJ19" s="38"/>
      <c r="AK19" s="44">
        <f t="shared" si="8"/>
        <v>4.05</v>
      </c>
      <c r="AL19" s="52">
        <f t="shared" si="1"/>
        <v>0.46022727272727265</v>
      </c>
    </row>
    <row r="20" spans="1:38" ht="60" customHeight="1">
      <c r="A20" s="14"/>
      <c r="B20" s="14"/>
      <c r="C20" s="13"/>
      <c r="D20" s="14"/>
      <c r="E20" s="14"/>
      <c r="F20" s="14"/>
      <c r="G20" s="13"/>
      <c r="H20" s="15"/>
      <c r="I20" s="14"/>
      <c r="J20" s="14"/>
      <c r="K20" s="14" t="s">
        <v>105</v>
      </c>
      <c r="L20" s="14">
        <f t="shared" si="3"/>
        <v>18.5</v>
      </c>
      <c r="M20" s="14">
        <f t="shared" si="7"/>
        <v>18.5</v>
      </c>
      <c r="N20" s="14">
        <v>18.5</v>
      </c>
      <c r="O20" s="14"/>
      <c r="P20" s="14"/>
      <c r="Q20" s="14"/>
      <c r="R20" s="14"/>
      <c r="S20" s="14"/>
      <c r="T20" s="14"/>
      <c r="U20" s="39"/>
      <c r="V20" s="39"/>
      <c r="W20" s="39"/>
      <c r="X20" s="38">
        <v>6.44</v>
      </c>
      <c r="Y20" s="38"/>
      <c r="Z20" s="38"/>
      <c r="AA20" s="38"/>
      <c r="AB20" s="38">
        <v>8.05</v>
      </c>
      <c r="AC20" s="38">
        <v>6.44</v>
      </c>
      <c r="AD20" s="38"/>
      <c r="AE20" s="38"/>
      <c r="AF20" s="38"/>
      <c r="AG20" s="38"/>
      <c r="AH20" s="38"/>
      <c r="AI20" s="38"/>
      <c r="AJ20" s="38"/>
      <c r="AK20" s="44">
        <f t="shared" si="8"/>
        <v>14.490000000000002</v>
      </c>
      <c r="AL20" s="52">
        <f t="shared" si="1"/>
        <v>0.7832432432432433</v>
      </c>
    </row>
    <row r="21" spans="1:38" ht="96" customHeight="1">
      <c r="A21" s="14">
        <v>12</v>
      </c>
      <c r="B21" s="14" t="s">
        <v>106</v>
      </c>
      <c r="C21" s="13" t="s">
        <v>107</v>
      </c>
      <c r="D21" s="14" t="s">
        <v>46</v>
      </c>
      <c r="E21" s="14" t="s">
        <v>47</v>
      </c>
      <c r="F21" s="14" t="s">
        <v>48</v>
      </c>
      <c r="G21" s="13" t="s">
        <v>108</v>
      </c>
      <c r="H21" s="15" t="s">
        <v>109</v>
      </c>
      <c r="I21" s="14" t="s">
        <v>58</v>
      </c>
      <c r="J21" s="14">
        <v>330</v>
      </c>
      <c r="K21" s="14" t="s">
        <v>110</v>
      </c>
      <c r="L21" s="14">
        <v>1500</v>
      </c>
      <c r="M21" s="14">
        <v>1500</v>
      </c>
      <c r="N21" s="14">
        <v>1500</v>
      </c>
      <c r="O21" s="14"/>
      <c r="P21" s="14"/>
      <c r="Q21" s="14"/>
      <c r="R21" s="14"/>
      <c r="S21" s="14"/>
      <c r="T21" s="14"/>
      <c r="U21" s="39"/>
      <c r="V21" s="39"/>
      <c r="W21" s="39"/>
      <c r="X21" s="38">
        <f>350+100</f>
        <v>450</v>
      </c>
      <c r="Y21" s="38"/>
      <c r="Z21" s="38"/>
      <c r="AA21" s="38"/>
      <c r="AB21" s="38">
        <v>0</v>
      </c>
      <c r="AC21" s="38"/>
      <c r="AD21" s="38"/>
      <c r="AE21" s="38"/>
      <c r="AF21" s="38"/>
      <c r="AG21" s="38"/>
      <c r="AH21" s="38"/>
      <c r="AI21" s="38"/>
      <c r="AJ21" s="38"/>
      <c r="AK21" s="44">
        <f t="shared" si="8"/>
        <v>0</v>
      </c>
      <c r="AL21" s="52">
        <f t="shared" si="1"/>
        <v>0</v>
      </c>
    </row>
    <row r="22" spans="1:38" ht="54" customHeight="1">
      <c r="A22" s="14">
        <v>13</v>
      </c>
      <c r="B22" s="14" t="s">
        <v>111</v>
      </c>
      <c r="C22" s="13" t="s">
        <v>112</v>
      </c>
      <c r="D22" s="14" t="s">
        <v>46</v>
      </c>
      <c r="E22" s="14" t="s">
        <v>47</v>
      </c>
      <c r="F22" s="14" t="s">
        <v>48</v>
      </c>
      <c r="G22" s="13" t="s">
        <v>113</v>
      </c>
      <c r="H22" s="15" t="s">
        <v>114</v>
      </c>
      <c r="I22" s="14" t="s">
        <v>76</v>
      </c>
      <c r="J22" s="14">
        <v>19140</v>
      </c>
      <c r="K22" s="14" t="s">
        <v>115</v>
      </c>
      <c r="L22" s="14">
        <f aca="true" t="shared" si="9" ref="L22:L24">M22+T22+U22+V22+W22</f>
        <v>2600</v>
      </c>
      <c r="M22" s="14">
        <f aca="true" t="shared" si="10" ref="M22:M24">N22+O22+P22+Q22+R22+S22</f>
        <v>2600</v>
      </c>
      <c r="N22" s="14">
        <v>2600</v>
      </c>
      <c r="O22" s="14"/>
      <c r="P22" s="14"/>
      <c r="Q22" s="14"/>
      <c r="R22" s="14"/>
      <c r="S22" s="14"/>
      <c r="T22" s="14"/>
      <c r="U22" s="39"/>
      <c r="V22" s="39"/>
      <c r="W22" s="39"/>
      <c r="X22" s="38">
        <v>100</v>
      </c>
      <c r="Y22" s="38"/>
      <c r="Z22" s="38"/>
      <c r="AA22" s="38"/>
      <c r="AB22" s="38">
        <v>738.29057</v>
      </c>
      <c r="AC22" s="38"/>
      <c r="AD22" s="38"/>
      <c r="AE22" s="38"/>
      <c r="AF22" s="38"/>
      <c r="AG22" s="38"/>
      <c r="AH22" s="38"/>
      <c r="AI22" s="38"/>
      <c r="AJ22" s="38"/>
      <c r="AK22" s="44">
        <f t="shared" si="8"/>
        <v>738.29057</v>
      </c>
      <c r="AL22" s="52">
        <f t="shared" si="1"/>
        <v>0.28395791153846156</v>
      </c>
    </row>
    <row r="23" spans="1:38" ht="54" customHeight="1">
      <c r="A23" s="14">
        <v>14</v>
      </c>
      <c r="B23" s="14" t="s">
        <v>116</v>
      </c>
      <c r="C23" s="13" t="s">
        <v>117</v>
      </c>
      <c r="D23" s="14" t="s">
        <v>46</v>
      </c>
      <c r="E23" s="14" t="s">
        <v>55</v>
      </c>
      <c r="F23" s="14" t="s">
        <v>48</v>
      </c>
      <c r="G23" s="13" t="s">
        <v>118</v>
      </c>
      <c r="H23" s="15" t="s">
        <v>119</v>
      </c>
      <c r="I23" s="14" t="s">
        <v>58</v>
      </c>
      <c r="J23" s="14">
        <v>4</v>
      </c>
      <c r="K23" s="14" t="s">
        <v>59</v>
      </c>
      <c r="L23" s="14">
        <f t="shared" si="9"/>
        <v>700</v>
      </c>
      <c r="M23" s="14">
        <f t="shared" si="10"/>
        <v>700</v>
      </c>
      <c r="N23" s="14">
        <v>700</v>
      </c>
      <c r="O23" s="14"/>
      <c r="P23" s="14"/>
      <c r="Q23" s="14"/>
      <c r="R23" s="14"/>
      <c r="S23" s="14"/>
      <c r="T23" s="14"/>
      <c r="U23" s="39"/>
      <c r="V23" s="39"/>
      <c r="W23" s="39"/>
      <c r="X23" s="38">
        <v>0</v>
      </c>
      <c r="Y23" s="38"/>
      <c r="Z23" s="38">
        <v>129.3584</v>
      </c>
      <c r="AA23" s="38"/>
      <c r="AB23" s="38">
        <v>189.5563</v>
      </c>
      <c r="AC23" s="38"/>
      <c r="AD23" s="38"/>
      <c r="AE23" s="38"/>
      <c r="AF23" s="38"/>
      <c r="AG23" s="38"/>
      <c r="AH23" s="38"/>
      <c r="AI23" s="38"/>
      <c r="AJ23" s="38"/>
      <c r="AK23" s="44">
        <f t="shared" si="8"/>
        <v>318.9147</v>
      </c>
      <c r="AL23" s="52">
        <f t="shared" si="1"/>
        <v>0.45559242857142856</v>
      </c>
    </row>
    <row r="24" spans="1:38" ht="54" customHeight="1">
      <c r="A24" s="16">
        <v>15</v>
      </c>
      <c r="B24" s="16" t="s">
        <v>120</v>
      </c>
      <c r="C24" s="17" t="s">
        <v>121</v>
      </c>
      <c r="D24" s="16" t="s">
        <v>46</v>
      </c>
      <c r="E24" s="16" t="s">
        <v>122</v>
      </c>
      <c r="F24" s="16" t="s">
        <v>48</v>
      </c>
      <c r="G24" s="17" t="s">
        <v>123</v>
      </c>
      <c r="H24" s="18" t="s">
        <v>124</v>
      </c>
      <c r="I24" s="16" t="s">
        <v>125</v>
      </c>
      <c r="J24" s="16">
        <v>45.04</v>
      </c>
      <c r="K24" s="16" t="s">
        <v>126</v>
      </c>
      <c r="L24" s="16">
        <f t="shared" si="9"/>
        <v>2626</v>
      </c>
      <c r="M24" s="16">
        <f t="shared" si="10"/>
        <v>2626</v>
      </c>
      <c r="N24" s="16">
        <v>380</v>
      </c>
      <c r="O24" s="16">
        <v>2246</v>
      </c>
      <c r="P24" s="16"/>
      <c r="Q24" s="16"/>
      <c r="R24" s="16"/>
      <c r="S24" s="16"/>
      <c r="T24" s="16"/>
      <c r="U24" s="39"/>
      <c r="V24" s="39"/>
      <c r="W24" s="39"/>
      <c r="X24" s="38">
        <f>SUM(X25:X32)+100</f>
        <v>459.258534</v>
      </c>
      <c r="Y24" s="38">
        <f aca="true" t="shared" si="11" ref="Y24:AK24">SUM(Y25:Y32)</f>
        <v>0</v>
      </c>
      <c r="Z24" s="38">
        <f t="shared" si="11"/>
        <v>0</v>
      </c>
      <c r="AA24" s="38">
        <f t="shared" si="11"/>
        <v>451.87877000000003</v>
      </c>
      <c r="AB24" s="38">
        <f t="shared" si="11"/>
        <v>882.992989</v>
      </c>
      <c r="AC24" s="38">
        <f t="shared" si="11"/>
        <v>263.679217</v>
      </c>
      <c r="AD24" s="38">
        <f t="shared" si="11"/>
        <v>0</v>
      </c>
      <c r="AE24" s="38">
        <f t="shared" si="11"/>
        <v>0</v>
      </c>
      <c r="AF24" s="38">
        <f t="shared" si="11"/>
        <v>0</v>
      </c>
      <c r="AG24" s="38">
        <f t="shared" si="11"/>
        <v>0</v>
      </c>
      <c r="AH24" s="38">
        <f t="shared" si="11"/>
        <v>0</v>
      </c>
      <c r="AI24" s="38">
        <f t="shared" si="11"/>
        <v>0</v>
      </c>
      <c r="AJ24" s="38">
        <f t="shared" si="11"/>
        <v>0</v>
      </c>
      <c r="AK24" s="38">
        <f t="shared" si="11"/>
        <v>1598.550976</v>
      </c>
      <c r="AL24" s="53">
        <f t="shared" si="1"/>
        <v>0.6087398994668698</v>
      </c>
    </row>
    <row r="25" spans="1:38" ht="54" customHeight="1">
      <c r="A25" s="14"/>
      <c r="B25" s="14"/>
      <c r="C25" s="13"/>
      <c r="D25" s="14"/>
      <c r="E25" s="14"/>
      <c r="F25" s="14"/>
      <c r="G25" s="13"/>
      <c r="H25" s="15"/>
      <c r="I25" s="14"/>
      <c r="J25" s="14"/>
      <c r="K25" s="14" t="s">
        <v>103</v>
      </c>
      <c r="L25" s="14"/>
      <c r="M25" s="14"/>
      <c r="N25" s="14"/>
      <c r="O25" s="14">
        <v>265</v>
      </c>
      <c r="P25" s="14"/>
      <c r="Q25" s="14"/>
      <c r="R25" s="14"/>
      <c r="S25" s="14"/>
      <c r="T25" s="14"/>
      <c r="U25" s="39"/>
      <c r="V25" s="39"/>
      <c r="W25" s="39"/>
      <c r="X25" s="38"/>
      <c r="Y25" s="38"/>
      <c r="Z25" s="38"/>
      <c r="AA25" s="38">
        <v>73.23402</v>
      </c>
      <c r="AB25" s="38">
        <v>48.82268</v>
      </c>
      <c r="AC25" s="38"/>
      <c r="AD25" s="38"/>
      <c r="AE25" s="38"/>
      <c r="AF25" s="38"/>
      <c r="AG25" s="38"/>
      <c r="AH25" s="38"/>
      <c r="AI25" s="38"/>
      <c r="AJ25" s="38"/>
      <c r="AK25" s="44">
        <f aca="true" t="shared" si="12" ref="AK25:AK42">SUM(Y25:AJ25)</f>
        <v>122.0567</v>
      </c>
      <c r="AL25" s="52"/>
    </row>
    <row r="26" spans="1:38" ht="54" customHeight="1">
      <c r="A26" s="14"/>
      <c r="B26" s="14"/>
      <c r="C26" s="13"/>
      <c r="D26" s="14"/>
      <c r="E26" s="14"/>
      <c r="F26" s="14"/>
      <c r="G26" s="13"/>
      <c r="H26" s="15"/>
      <c r="I26" s="14"/>
      <c r="J26" s="14"/>
      <c r="K26" s="14" t="s">
        <v>103</v>
      </c>
      <c r="L26" s="14"/>
      <c r="M26" s="14"/>
      <c r="N26" s="14"/>
      <c r="O26" s="14">
        <v>350</v>
      </c>
      <c r="P26" s="14"/>
      <c r="Q26" s="14"/>
      <c r="R26" s="14"/>
      <c r="S26" s="14"/>
      <c r="T26" s="14"/>
      <c r="U26" s="39"/>
      <c r="V26" s="39"/>
      <c r="W26" s="39"/>
      <c r="X26" s="38"/>
      <c r="Y26" s="38"/>
      <c r="Z26" s="38"/>
      <c r="AA26" s="38">
        <f>94.26566+0.324</f>
        <v>94.58966</v>
      </c>
      <c r="AB26" s="38">
        <v>62.843774</v>
      </c>
      <c r="AC26" s="38"/>
      <c r="AD26" s="38"/>
      <c r="AE26" s="38"/>
      <c r="AF26" s="38"/>
      <c r="AG26" s="38"/>
      <c r="AH26" s="38"/>
      <c r="AI26" s="38"/>
      <c r="AJ26" s="38"/>
      <c r="AK26" s="44">
        <f t="shared" si="12"/>
        <v>157.433434</v>
      </c>
      <c r="AL26" s="52"/>
    </row>
    <row r="27" spans="1:38" ht="54" customHeight="1">
      <c r="A27" s="14"/>
      <c r="B27" s="14"/>
      <c r="C27" s="13"/>
      <c r="D27" s="14"/>
      <c r="E27" s="14"/>
      <c r="F27" s="14"/>
      <c r="G27" s="13"/>
      <c r="H27" s="15"/>
      <c r="I27" s="14"/>
      <c r="J27" s="14"/>
      <c r="K27" s="14" t="s">
        <v>127</v>
      </c>
      <c r="L27" s="14"/>
      <c r="M27" s="14"/>
      <c r="N27" s="14">
        <v>380</v>
      </c>
      <c r="O27" s="14"/>
      <c r="P27" s="14"/>
      <c r="Q27" s="14"/>
      <c r="R27" s="14"/>
      <c r="S27" s="14"/>
      <c r="T27" s="14"/>
      <c r="U27" s="39"/>
      <c r="V27" s="39"/>
      <c r="W27" s="39"/>
      <c r="X27" s="38">
        <v>107.49</v>
      </c>
      <c r="Y27" s="38"/>
      <c r="Z27" s="38"/>
      <c r="AA27" s="38">
        <v>114.905</v>
      </c>
      <c r="AB27" s="38">
        <v>111.158616</v>
      </c>
      <c r="AC27" s="38">
        <v>107.49</v>
      </c>
      <c r="AD27" s="38"/>
      <c r="AE27" s="38"/>
      <c r="AF27" s="38"/>
      <c r="AG27" s="38"/>
      <c r="AH27" s="38"/>
      <c r="AI27" s="38"/>
      <c r="AJ27" s="38"/>
      <c r="AK27" s="44">
        <f t="shared" si="12"/>
        <v>333.553616</v>
      </c>
      <c r="AL27" s="52"/>
    </row>
    <row r="28" spans="1:38" ht="54" customHeight="1">
      <c r="A28" s="14"/>
      <c r="B28" s="14"/>
      <c r="C28" s="13"/>
      <c r="D28" s="14"/>
      <c r="E28" s="14"/>
      <c r="F28" s="14"/>
      <c r="G28" s="13"/>
      <c r="H28" s="15"/>
      <c r="I28" s="14"/>
      <c r="J28" s="14"/>
      <c r="K28" s="14" t="s">
        <v>128</v>
      </c>
      <c r="L28" s="14"/>
      <c r="M28" s="14"/>
      <c r="N28" s="14"/>
      <c r="O28" s="14">
        <v>350</v>
      </c>
      <c r="P28" s="14"/>
      <c r="Q28" s="14"/>
      <c r="R28" s="14"/>
      <c r="S28" s="14"/>
      <c r="T28" s="14"/>
      <c r="U28" s="39"/>
      <c r="V28" s="39"/>
      <c r="W28" s="39"/>
      <c r="X28" s="38">
        <v>92.371467</v>
      </c>
      <c r="Y28" s="38"/>
      <c r="Z28" s="38"/>
      <c r="AA28" s="38">
        <v>12.203173</v>
      </c>
      <c r="AB28" s="38">
        <v>132.284497</v>
      </c>
      <c r="AC28" s="38"/>
      <c r="AD28" s="38"/>
      <c r="AE28" s="38"/>
      <c r="AF28" s="38"/>
      <c r="AG28" s="38"/>
      <c r="AH28" s="38"/>
      <c r="AI28" s="38"/>
      <c r="AJ28" s="38"/>
      <c r="AK28" s="44">
        <f t="shared" si="12"/>
        <v>144.48766999999998</v>
      </c>
      <c r="AL28" s="52"/>
    </row>
    <row r="29" spans="1:38" ht="54" customHeight="1">
      <c r="A29" s="14"/>
      <c r="B29" s="14"/>
      <c r="C29" s="13"/>
      <c r="D29" s="14"/>
      <c r="E29" s="14"/>
      <c r="F29" s="14"/>
      <c r="G29" s="13"/>
      <c r="H29" s="15"/>
      <c r="I29" s="14"/>
      <c r="J29" s="14"/>
      <c r="K29" s="14" t="s">
        <v>129</v>
      </c>
      <c r="L29" s="14"/>
      <c r="M29" s="14"/>
      <c r="N29" s="14"/>
      <c r="O29" s="14">
        <v>350</v>
      </c>
      <c r="P29" s="14"/>
      <c r="Q29" s="14"/>
      <c r="R29" s="14"/>
      <c r="S29" s="14"/>
      <c r="T29" s="14"/>
      <c r="U29" s="39"/>
      <c r="V29" s="39"/>
      <c r="W29" s="39"/>
      <c r="X29" s="38"/>
      <c r="Y29" s="38"/>
      <c r="Z29" s="38"/>
      <c r="AA29" s="38">
        <v>2.55</v>
      </c>
      <c r="AB29" s="38">
        <v>177.547805</v>
      </c>
      <c r="AC29" s="38"/>
      <c r="AD29" s="38"/>
      <c r="AE29" s="38"/>
      <c r="AF29" s="38"/>
      <c r="AG29" s="38"/>
      <c r="AH29" s="38"/>
      <c r="AI29" s="38"/>
      <c r="AJ29" s="38"/>
      <c r="AK29" s="44">
        <f t="shared" si="12"/>
        <v>180.09780500000002</v>
      </c>
      <c r="AL29" s="52"/>
    </row>
    <row r="30" spans="1:38" ht="54" customHeight="1">
      <c r="A30" s="14"/>
      <c r="B30" s="14"/>
      <c r="C30" s="13"/>
      <c r="D30" s="14"/>
      <c r="E30" s="14"/>
      <c r="F30" s="14"/>
      <c r="G30" s="13"/>
      <c r="H30" s="15"/>
      <c r="I30" s="14"/>
      <c r="J30" s="14"/>
      <c r="K30" s="14" t="s">
        <v>130</v>
      </c>
      <c r="L30" s="14"/>
      <c r="M30" s="14"/>
      <c r="N30" s="14"/>
      <c r="O30" s="14">
        <v>350</v>
      </c>
      <c r="P30" s="14"/>
      <c r="Q30" s="14"/>
      <c r="R30" s="14"/>
      <c r="S30" s="14"/>
      <c r="T30" s="14"/>
      <c r="U30" s="39"/>
      <c r="V30" s="39"/>
      <c r="W30" s="39"/>
      <c r="X30" s="38"/>
      <c r="Y30" s="38"/>
      <c r="Z30" s="38"/>
      <c r="AA30" s="38">
        <v>95.442</v>
      </c>
      <c r="AB30" s="38">
        <v>117.7365</v>
      </c>
      <c r="AC30" s="38"/>
      <c r="AD30" s="38"/>
      <c r="AE30" s="38"/>
      <c r="AF30" s="38"/>
      <c r="AG30" s="38"/>
      <c r="AH30" s="38"/>
      <c r="AI30" s="38"/>
      <c r="AJ30" s="38"/>
      <c r="AK30" s="44">
        <f t="shared" si="12"/>
        <v>213.17849999999999</v>
      </c>
      <c r="AL30" s="52"/>
    </row>
    <row r="31" spans="1:38" ht="54" customHeight="1">
      <c r="A31" s="14"/>
      <c r="B31" s="14"/>
      <c r="C31" s="13"/>
      <c r="D31" s="14"/>
      <c r="E31" s="14"/>
      <c r="F31" s="14"/>
      <c r="G31" s="13"/>
      <c r="H31" s="15"/>
      <c r="I31" s="14"/>
      <c r="J31" s="14"/>
      <c r="K31" s="14" t="s">
        <v>131</v>
      </c>
      <c r="L31" s="14"/>
      <c r="M31" s="14"/>
      <c r="N31" s="14"/>
      <c r="O31" s="14">
        <v>343</v>
      </c>
      <c r="P31" s="14"/>
      <c r="Q31" s="14"/>
      <c r="R31" s="14"/>
      <c r="S31" s="14"/>
      <c r="T31" s="14"/>
      <c r="U31" s="39"/>
      <c r="V31" s="39"/>
      <c r="W31" s="39"/>
      <c r="X31" s="38">
        <v>95.2081</v>
      </c>
      <c r="Y31" s="38"/>
      <c r="Z31" s="38"/>
      <c r="AA31" s="38"/>
      <c r="AB31" s="38">
        <v>173.4092</v>
      </c>
      <c r="AC31" s="38">
        <v>96.3481</v>
      </c>
      <c r="AD31" s="38"/>
      <c r="AE31" s="38"/>
      <c r="AF31" s="38"/>
      <c r="AG31" s="38"/>
      <c r="AH31" s="38"/>
      <c r="AI31" s="38"/>
      <c r="AJ31" s="38"/>
      <c r="AK31" s="44">
        <f t="shared" si="12"/>
        <v>269.7573</v>
      </c>
      <c r="AL31" s="52"/>
    </row>
    <row r="32" spans="1:38" ht="54" customHeight="1">
      <c r="A32" s="14"/>
      <c r="B32" s="14"/>
      <c r="C32" s="13"/>
      <c r="D32" s="14"/>
      <c r="E32" s="14"/>
      <c r="F32" s="14"/>
      <c r="G32" s="13"/>
      <c r="H32" s="15"/>
      <c r="I32" s="14"/>
      <c r="J32" s="14"/>
      <c r="K32" s="14" t="s">
        <v>105</v>
      </c>
      <c r="L32" s="14"/>
      <c r="M32" s="14"/>
      <c r="N32" s="14"/>
      <c r="O32" s="14">
        <v>238</v>
      </c>
      <c r="P32" s="14"/>
      <c r="Q32" s="14"/>
      <c r="R32" s="14"/>
      <c r="S32" s="14"/>
      <c r="T32" s="14"/>
      <c r="U32" s="39"/>
      <c r="V32" s="39"/>
      <c r="W32" s="39"/>
      <c r="X32" s="38">
        <v>64.188967</v>
      </c>
      <c r="Y32" s="38"/>
      <c r="Z32" s="38"/>
      <c r="AA32" s="38">
        <v>58.954917</v>
      </c>
      <c r="AB32" s="38">
        <v>59.189917</v>
      </c>
      <c r="AC32" s="38">
        <v>59.841117</v>
      </c>
      <c r="AD32" s="38"/>
      <c r="AE32" s="38"/>
      <c r="AF32" s="38"/>
      <c r="AG32" s="38"/>
      <c r="AH32" s="38"/>
      <c r="AI32" s="38"/>
      <c r="AJ32" s="38"/>
      <c r="AK32" s="44">
        <f t="shared" si="12"/>
        <v>177.985951</v>
      </c>
      <c r="AL32" s="52"/>
    </row>
    <row r="33" spans="1:38" ht="75.75" customHeight="1">
      <c r="A33" s="14">
        <v>16</v>
      </c>
      <c r="B33" s="14" t="s">
        <v>132</v>
      </c>
      <c r="C33" s="13" t="s">
        <v>133</v>
      </c>
      <c r="D33" s="14" t="s">
        <v>46</v>
      </c>
      <c r="E33" s="14" t="s">
        <v>134</v>
      </c>
      <c r="F33" s="14" t="s">
        <v>48</v>
      </c>
      <c r="G33" s="15" t="s">
        <v>135</v>
      </c>
      <c r="H33" s="15" t="s">
        <v>136</v>
      </c>
      <c r="I33" s="14" t="s">
        <v>125</v>
      </c>
      <c r="J33" s="14">
        <v>13.138</v>
      </c>
      <c r="K33" s="14" t="s">
        <v>137</v>
      </c>
      <c r="L33" s="14">
        <f aca="true" t="shared" si="13" ref="L33:L42">M33+T33+U33+V33+W33</f>
        <v>1800</v>
      </c>
      <c r="M33" s="14">
        <f aca="true" t="shared" si="14" ref="M33:M42">N33+O33+P33+Q33+R33+S33</f>
        <v>1800</v>
      </c>
      <c r="N33" s="14">
        <v>1800</v>
      </c>
      <c r="O33" s="14"/>
      <c r="P33" s="14"/>
      <c r="Q33" s="14"/>
      <c r="R33" s="14"/>
      <c r="S33" s="14"/>
      <c r="T33" s="14"/>
      <c r="U33" s="39"/>
      <c r="V33" s="39"/>
      <c r="W33" s="39"/>
      <c r="X33" s="38">
        <v>0</v>
      </c>
      <c r="Y33" s="38"/>
      <c r="Z33" s="38"/>
      <c r="AA33" s="38">
        <v>375.550657</v>
      </c>
      <c r="AB33" s="38">
        <v>393.915657</v>
      </c>
      <c r="AC33" s="38">
        <f>0.612+0.918</f>
        <v>1.53</v>
      </c>
      <c r="AD33" s="38"/>
      <c r="AE33" s="38"/>
      <c r="AF33" s="38"/>
      <c r="AG33" s="38"/>
      <c r="AH33" s="38"/>
      <c r="AI33" s="38"/>
      <c r="AJ33" s="38"/>
      <c r="AK33" s="44">
        <f t="shared" si="12"/>
        <v>770.996314</v>
      </c>
      <c r="AL33" s="52">
        <f aca="true" t="shared" si="15" ref="AL33:AL47">AK33/L33</f>
        <v>0.42833128555555555</v>
      </c>
    </row>
    <row r="34" spans="1:38" ht="75.75" customHeight="1">
      <c r="A34" s="14">
        <v>17</v>
      </c>
      <c r="B34" s="14" t="s">
        <v>138</v>
      </c>
      <c r="C34" s="13" t="s">
        <v>139</v>
      </c>
      <c r="D34" s="14" t="s">
        <v>46</v>
      </c>
      <c r="E34" s="14" t="s">
        <v>134</v>
      </c>
      <c r="F34" s="14" t="s">
        <v>48</v>
      </c>
      <c r="G34" s="13" t="s">
        <v>140</v>
      </c>
      <c r="H34" s="15" t="s">
        <v>141</v>
      </c>
      <c r="I34" s="14" t="s">
        <v>125</v>
      </c>
      <c r="J34" s="14">
        <v>8.081</v>
      </c>
      <c r="K34" s="14" t="s">
        <v>137</v>
      </c>
      <c r="L34" s="14">
        <f t="shared" si="13"/>
        <v>1000</v>
      </c>
      <c r="M34" s="14">
        <f t="shared" si="14"/>
        <v>1000</v>
      </c>
      <c r="N34" s="14">
        <v>1000</v>
      </c>
      <c r="O34" s="14"/>
      <c r="P34" s="14"/>
      <c r="Q34" s="14"/>
      <c r="R34" s="14"/>
      <c r="S34" s="14"/>
      <c r="T34" s="14"/>
      <c r="U34" s="39"/>
      <c r="V34" s="39"/>
      <c r="W34" s="39"/>
      <c r="X34" s="38">
        <v>242.774937</v>
      </c>
      <c r="Y34" s="38"/>
      <c r="Z34" s="38"/>
      <c r="AA34" s="38">
        <v>242.774937</v>
      </c>
      <c r="AB34" s="38">
        <v>12.5183</v>
      </c>
      <c r="AC34" s="38">
        <f>0.34+243.284937</f>
        <v>243.62493700000002</v>
      </c>
      <c r="AD34" s="38"/>
      <c r="AE34" s="38"/>
      <c r="AF34" s="38"/>
      <c r="AG34" s="38"/>
      <c r="AH34" s="38"/>
      <c r="AI34" s="38"/>
      <c r="AJ34" s="38"/>
      <c r="AK34" s="44">
        <f t="shared" si="12"/>
        <v>498.918174</v>
      </c>
      <c r="AL34" s="52">
        <f t="shared" si="15"/>
        <v>0.49891817400000005</v>
      </c>
    </row>
    <row r="35" spans="1:38" ht="75.75" customHeight="1">
      <c r="A35" s="14">
        <v>18</v>
      </c>
      <c r="B35" s="14" t="s">
        <v>142</v>
      </c>
      <c r="C35" s="13" t="s">
        <v>143</v>
      </c>
      <c r="D35" s="14" t="s">
        <v>46</v>
      </c>
      <c r="E35" s="14" t="s">
        <v>134</v>
      </c>
      <c r="F35" s="14" t="s">
        <v>48</v>
      </c>
      <c r="G35" s="13" t="s">
        <v>144</v>
      </c>
      <c r="H35" s="15" t="s">
        <v>145</v>
      </c>
      <c r="I35" s="14" t="s">
        <v>125</v>
      </c>
      <c r="J35" s="14">
        <v>7.635</v>
      </c>
      <c r="K35" s="14" t="s">
        <v>146</v>
      </c>
      <c r="L35" s="14">
        <f t="shared" si="13"/>
        <v>1000</v>
      </c>
      <c r="M35" s="14">
        <f t="shared" si="14"/>
        <v>1000</v>
      </c>
      <c r="N35" s="14">
        <v>1000</v>
      </c>
      <c r="O35" s="14"/>
      <c r="P35" s="14"/>
      <c r="Q35" s="14"/>
      <c r="R35" s="14"/>
      <c r="S35" s="14"/>
      <c r="T35" s="14"/>
      <c r="U35" s="39"/>
      <c r="V35" s="39"/>
      <c r="W35" s="39"/>
      <c r="X35" s="38">
        <v>276.212869</v>
      </c>
      <c r="Y35" s="38"/>
      <c r="Z35" s="38"/>
      <c r="AA35" s="38"/>
      <c r="AB35" s="38">
        <v>288.725469</v>
      </c>
      <c r="AC35" s="38">
        <f>0.34+276.722869</f>
        <v>277.062869</v>
      </c>
      <c r="AD35" s="38"/>
      <c r="AE35" s="38"/>
      <c r="AF35" s="38"/>
      <c r="AG35" s="38"/>
      <c r="AH35" s="38"/>
      <c r="AI35" s="38"/>
      <c r="AJ35" s="38"/>
      <c r="AK35" s="44">
        <f t="shared" si="12"/>
        <v>565.788338</v>
      </c>
      <c r="AL35" s="52">
        <f t="shared" si="15"/>
        <v>0.565788338</v>
      </c>
    </row>
    <row r="36" spans="1:38" ht="75.75" customHeight="1">
      <c r="A36" s="14">
        <v>19</v>
      </c>
      <c r="B36" s="14" t="s">
        <v>147</v>
      </c>
      <c r="C36" s="13" t="s">
        <v>148</v>
      </c>
      <c r="D36" s="14" t="s">
        <v>46</v>
      </c>
      <c r="E36" s="14" t="s">
        <v>134</v>
      </c>
      <c r="F36" s="14" t="s">
        <v>48</v>
      </c>
      <c r="G36" s="13" t="s">
        <v>149</v>
      </c>
      <c r="H36" s="15" t="s">
        <v>150</v>
      </c>
      <c r="I36" s="14" t="s">
        <v>125</v>
      </c>
      <c r="J36" s="14">
        <v>8.277</v>
      </c>
      <c r="K36" s="14" t="s">
        <v>146</v>
      </c>
      <c r="L36" s="14">
        <f t="shared" si="13"/>
        <v>1100</v>
      </c>
      <c r="M36" s="14">
        <f t="shared" si="14"/>
        <v>1100</v>
      </c>
      <c r="N36" s="14">
        <v>1100</v>
      </c>
      <c r="O36" s="14"/>
      <c r="P36" s="14"/>
      <c r="Q36" s="14"/>
      <c r="R36" s="14"/>
      <c r="S36" s="14"/>
      <c r="T36" s="14"/>
      <c r="U36" s="39"/>
      <c r="V36" s="39"/>
      <c r="W36" s="39"/>
      <c r="X36" s="38">
        <v>0</v>
      </c>
      <c r="Y36" s="38"/>
      <c r="Z36" s="38"/>
      <c r="AA36" s="38">
        <v>294.615368</v>
      </c>
      <c r="AB36" s="38">
        <v>307.824568</v>
      </c>
      <c r="AC36" s="38">
        <f>0.374+0.561</f>
        <v>0.935</v>
      </c>
      <c r="AD36" s="38"/>
      <c r="AE36" s="38"/>
      <c r="AF36" s="38"/>
      <c r="AG36" s="38"/>
      <c r="AH36" s="38"/>
      <c r="AI36" s="38"/>
      <c r="AJ36" s="38"/>
      <c r="AK36" s="44">
        <f t="shared" si="12"/>
        <v>603.3749359999999</v>
      </c>
      <c r="AL36" s="52">
        <f t="shared" si="15"/>
        <v>0.5485226690909091</v>
      </c>
    </row>
    <row r="37" spans="1:38" ht="75.75" customHeight="1">
      <c r="A37" s="14">
        <v>20</v>
      </c>
      <c r="B37" s="14" t="s">
        <v>151</v>
      </c>
      <c r="C37" s="13" t="s">
        <v>152</v>
      </c>
      <c r="D37" s="14" t="s">
        <v>46</v>
      </c>
      <c r="E37" s="14" t="s">
        <v>134</v>
      </c>
      <c r="F37" s="14" t="s">
        <v>48</v>
      </c>
      <c r="G37" s="13" t="s">
        <v>153</v>
      </c>
      <c r="H37" s="15" t="s">
        <v>154</v>
      </c>
      <c r="I37" s="14" t="s">
        <v>125</v>
      </c>
      <c r="J37" s="14">
        <v>12.363</v>
      </c>
      <c r="K37" s="14" t="s">
        <v>155</v>
      </c>
      <c r="L37" s="14">
        <f t="shared" si="13"/>
        <v>1600</v>
      </c>
      <c r="M37" s="14">
        <f t="shared" si="14"/>
        <v>1600</v>
      </c>
      <c r="N37" s="14">
        <v>1600</v>
      </c>
      <c r="O37" s="14"/>
      <c r="P37" s="14"/>
      <c r="Q37" s="14"/>
      <c r="R37" s="14"/>
      <c r="S37" s="14"/>
      <c r="T37" s="14"/>
      <c r="U37" s="39"/>
      <c r="V37" s="39"/>
      <c r="W37" s="39"/>
      <c r="X37" s="38">
        <v>0</v>
      </c>
      <c r="Y37" s="38"/>
      <c r="Z37" s="38"/>
      <c r="AA37" s="38">
        <v>387.942139</v>
      </c>
      <c r="AB37" s="38">
        <v>405.635139</v>
      </c>
      <c r="AC37" s="38">
        <f>0.542+0.813</f>
        <v>1.355</v>
      </c>
      <c r="AD37" s="38"/>
      <c r="AE37" s="38"/>
      <c r="AF37" s="38"/>
      <c r="AG37" s="38"/>
      <c r="AH37" s="38"/>
      <c r="AI37" s="38"/>
      <c r="AJ37" s="38"/>
      <c r="AK37" s="44">
        <f t="shared" si="12"/>
        <v>794.932278</v>
      </c>
      <c r="AL37" s="52">
        <f t="shared" si="15"/>
        <v>0.49683267375</v>
      </c>
    </row>
    <row r="38" spans="1:38" ht="75.75" customHeight="1">
      <c r="A38" s="14">
        <v>21</v>
      </c>
      <c r="B38" s="14" t="s">
        <v>156</v>
      </c>
      <c r="C38" s="13" t="s">
        <v>157</v>
      </c>
      <c r="D38" s="14" t="s">
        <v>46</v>
      </c>
      <c r="E38" s="14" t="s">
        <v>134</v>
      </c>
      <c r="F38" s="14" t="s">
        <v>48</v>
      </c>
      <c r="G38" s="13" t="s">
        <v>158</v>
      </c>
      <c r="H38" s="15" t="s">
        <v>159</v>
      </c>
      <c r="I38" s="14" t="s">
        <v>125</v>
      </c>
      <c r="J38" s="14">
        <v>5.86</v>
      </c>
      <c r="K38" s="14" t="s">
        <v>160</v>
      </c>
      <c r="L38" s="14">
        <f t="shared" si="13"/>
        <v>800</v>
      </c>
      <c r="M38" s="14">
        <f t="shared" si="14"/>
        <v>800</v>
      </c>
      <c r="N38" s="14">
        <v>800</v>
      </c>
      <c r="O38" s="14"/>
      <c r="P38" s="14"/>
      <c r="Q38" s="14"/>
      <c r="R38" s="14"/>
      <c r="S38" s="14"/>
      <c r="T38" s="14"/>
      <c r="U38" s="39"/>
      <c r="V38" s="39"/>
      <c r="W38" s="39"/>
      <c r="X38" s="38">
        <v>0</v>
      </c>
      <c r="Y38" s="38"/>
      <c r="Z38" s="38"/>
      <c r="AA38" s="38">
        <v>187.770634</v>
      </c>
      <c r="AB38" s="38">
        <v>197.652534</v>
      </c>
      <c r="AC38" s="38">
        <f>0.272+0.408</f>
        <v>0.6799999999999999</v>
      </c>
      <c r="AD38" s="38"/>
      <c r="AE38" s="38"/>
      <c r="AF38" s="38"/>
      <c r="AG38" s="38"/>
      <c r="AH38" s="38"/>
      <c r="AI38" s="38"/>
      <c r="AJ38" s="38"/>
      <c r="AK38" s="44">
        <f t="shared" si="12"/>
        <v>386.10316800000004</v>
      </c>
      <c r="AL38" s="52">
        <f t="shared" si="15"/>
        <v>0.48262896000000005</v>
      </c>
    </row>
    <row r="39" spans="1:38" ht="75.75" customHeight="1">
      <c r="A39" s="14">
        <v>22</v>
      </c>
      <c r="B39" s="14" t="s">
        <v>161</v>
      </c>
      <c r="C39" s="13" t="s">
        <v>162</v>
      </c>
      <c r="D39" s="14" t="s">
        <v>46</v>
      </c>
      <c r="E39" s="14" t="s">
        <v>163</v>
      </c>
      <c r="F39" s="14" t="s">
        <v>48</v>
      </c>
      <c r="G39" s="13" t="s">
        <v>164</v>
      </c>
      <c r="H39" s="15" t="s">
        <v>165</v>
      </c>
      <c r="I39" s="14" t="s">
        <v>58</v>
      </c>
      <c r="J39" s="14">
        <v>1</v>
      </c>
      <c r="K39" s="14" t="s">
        <v>115</v>
      </c>
      <c r="L39" s="14">
        <f t="shared" si="13"/>
        <v>350</v>
      </c>
      <c r="M39" s="14">
        <f t="shared" si="14"/>
        <v>350</v>
      </c>
      <c r="N39" s="14">
        <v>350</v>
      </c>
      <c r="O39" s="14"/>
      <c r="P39" s="14"/>
      <c r="Q39" s="14"/>
      <c r="R39" s="14"/>
      <c r="S39" s="14"/>
      <c r="T39" s="14"/>
      <c r="U39" s="39"/>
      <c r="V39" s="39"/>
      <c r="W39" s="39"/>
      <c r="X39" s="38">
        <v>167.5</v>
      </c>
      <c r="Y39" s="38"/>
      <c r="Z39" s="38"/>
      <c r="AA39" s="38"/>
      <c r="AB39" s="38">
        <v>101.16</v>
      </c>
      <c r="AC39" s="38">
        <v>105.179445</v>
      </c>
      <c r="AD39" s="38"/>
      <c r="AE39" s="38"/>
      <c r="AF39" s="38"/>
      <c r="AG39" s="38"/>
      <c r="AH39" s="38"/>
      <c r="AI39" s="38"/>
      <c r="AJ39" s="38"/>
      <c r="AK39" s="44">
        <f t="shared" si="12"/>
        <v>206.339445</v>
      </c>
      <c r="AL39" s="52">
        <f t="shared" si="15"/>
        <v>0.5895412714285715</v>
      </c>
    </row>
    <row r="40" spans="1:38" ht="75.75" customHeight="1">
      <c r="A40" s="14">
        <v>23</v>
      </c>
      <c r="B40" s="14" t="s">
        <v>166</v>
      </c>
      <c r="C40" s="13" t="s">
        <v>167</v>
      </c>
      <c r="D40" s="14" t="s">
        <v>46</v>
      </c>
      <c r="E40" s="14" t="s">
        <v>163</v>
      </c>
      <c r="F40" s="14" t="s">
        <v>48</v>
      </c>
      <c r="G40" s="13" t="s">
        <v>164</v>
      </c>
      <c r="H40" s="15" t="s">
        <v>168</v>
      </c>
      <c r="I40" s="14"/>
      <c r="J40" s="14"/>
      <c r="K40" s="14" t="s">
        <v>115</v>
      </c>
      <c r="L40" s="14">
        <f t="shared" si="13"/>
        <v>399</v>
      </c>
      <c r="M40" s="14">
        <f t="shared" si="14"/>
        <v>399</v>
      </c>
      <c r="N40" s="14">
        <v>399</v>
      </c>
      <c r="O40" s="14"/>
      <c r="P40" s="14"/>
      <c r="Q40" s="14"/>
      <c r="R40" s="14"/>
      <c r="S40" s="14"/>
      <c r="T40" s="14"/>
      <c r="U40" s="39"/>
      <c r="V40" s="39"/>
      <c r="W40" s="39"/>
      <c r="X40" s="38">
        <v>115</v>
      </c>
      <c r="Y40" s="38"/>
      <c r="Z40" s="38"/>
      <c r="AA40" s="38"/>
      <c r="AB40" s="38">
        <v>0.63</v>
      </c>
      <c r="AC40" s="38">
        <v>114.27624</v>
      </c>
      <c r="AD40" s="38"/>
      <c r="AE40" s="38"/>
      <c r="AF40" s="38"/>
      <c r="AG40" s="38"/>
      <c r="AH40" s="38"/>
      <c r="AI40" s="38"/>
      <c r="AJ40" s="38"/>
      <c r="AK40" s="44">
        <f t="shared" si="12"/>
        <v>114.90624</v>
      </c>
      <c r="AL40" s="52">
        <f t="shared" si="15"/>
        <v>0.2879855639097744</v>
      </c>
    </row>
    <row r="41" spans="1:38" ht="75.75" customHeight="1">
      <c r="A41" s="14">
        <v>24</v>
      </c>
      <c r="B41" s="14" t="s">
        <v>169</v>
      </c>
      <c r="C41" s="13" t="s">
        <v>170</v>
      </c>
      <c r="D41" s="14" t="s">
        <v>46</v>
      </c>
      <c r="E41" s="14" t="s">
        <v>163</v>
      </c>
      <c r="F41" s="14" t="s">
        <v>48</v>
      </c>
      <c r="G41" s="13" t="s">
        <v>164</v>
      </c>
      <c r="H41" s="15" t="s">
        <v>171</v>
      </c>
      <c r="I41" s="14"/>
      <c r="J41" s="14"/>
      <c r="K41" s="14" t="s">
        <v>115</v>
      </c>
      <c r="L41" s="14">
        <f t="shared" si="13"/>
        <v>251</v>
      </c>
      <c r="M41" s="14">
        <f t="shared" si="14"/>
        <v>251</v>
      </c>
      <c r="N41" s="14">
        <v>251</v>
      </c>
      <c r="O41" s="14"/>
      <c r="P41" s="14"/>
      <c r="Q41" s="14"/>
      <c r="R41" s="14"/>
      <c r="S41" s="14"/>
      <c r="T41" s="14"/>
      <c r="U41" s="39"/>
      <c r="V41" s="39"/>
      <c r="W41" s="39"/>
      <c r="X41" s="38">
        <v>96</v>
      </c>
      <c r="Y41" s="38"/>
      <c r="Z41" s="38"/>
      <c r="AA41" s="38"/>
      <c r="AB41" s="38">
        <v>72.24</v>
      </c>
      <c r="AC41" s="38">
        <v>75.619878</v>
      </c>
      <c r="AD41" s="38"/>
      <c r="AE41" s="38"/>
      <c r="AF41" s="38"/>
      <c r="AG41" s="38"/>
      <c r="AH41" s="38"/>
      <c r="AI41" s="38"/>
      <c r="AJ41" s="38"/>
      <c r="AK41" s="44">
        <f t="shared" si="12"/>
        <v>147.85987799999998</v>
      </c>
      <c r="AL41" s="52">
        <f t="shared" si="15"/>
        <v>0.5890831792828685</v>
      </c>
    </row>
    <row r="42" spans="1:38" ht="75.75" customHeight="1">
      <c r="A42" s="14">
        <v>25</v>
      </c>
      <c r="B42" s="14" t="s">
        <v>172</v>
      </c>
      <c r="C42" s="13" t="s">
        <v>173</v>
      </c>
      <c r="D42" s="14" t="s">
        <v>46</v>
      </c>
      <c r="E42" s="14" t="s">
        <v>174</v>
      </c>
      <c r="F42" s="14" t="s">
        <v>48</v>
      </c>
      <c r="G42" s="19" t="s">
        <v>90</v>
      </c>
      <c r="H42" s="15" t="s">
        <v>175</v>
      </c>
      <c r="I42" s="14" t="s">
        <v>101</v>
      </c>
      <c r="J42" s="14">
        <v>12853</v>
      </c>
      <c r="K42" s="14" t="s">
        <v>176</v>
      </c>
      <c r="L42" s="14">
        <f t="shared" si="13"/>
        <v>1100</v>
      </c>
      <c r="M42" s="14">
        <f t="shared" si="14"/>
        <v>1100</v>
      </c>
      <c r="N42" s="14">
        <v>1100</v>
      </c>
      <c r="O42" s="14"/>
      <c r="P42" s="14"/>
      <c r="Q42" s="14"/>
      <c r="R42" s="14"/>
      <c r="S42" s="14"/>
      <c r="T42" s="14"/>
      <c r="U42" s="39"/>
      <c r="V42" s="39"/>
      <c r="W42" s="39"/>
      <c r="X42" s="38"/>
      <c r="Y42" s="38"/>
      <c r="Z42" s="38"/>
      <c r="AA42" s="38">
        <v>328.640051</v>
      </c>
      <c r="AB42" s="38">
        <v>0</v>
      </c>
      <c r="AC42" s="38"/>
      <c r="AD42" s="38"/>
      <c r="AE42" s="38"/>
      <c r="AF42" s="38"/>
      <c r="AG42" s="38"/>
      <c r="AH42" s="38"/>
      <c r="AI42" s="38"/>
      <c r="AJ42" s="38"/>
      <c r="AK42" s="44">
        <f t="shared" si="12"/>
        <v>328.640051</v>
      </c>
      <c r="AL42" s="52">
        <f t="shared" si="15"/>
        <v>0.2987636827272728</v>
      </c>
    </row>
    <row r="43" spans="1:38" ht="96" customHeight="1">
      <c r="A43" s="12" t="s">
        <v>177</v>
      </c>
      <c r="B43" s="8" t="s">
        <v>178</v>
      </c>
      <c r="C43" s="9"/>
      <c r="D43" s="10"/>
      <c r="E43" s="10"/>
      <c r="F43" s="10"/>
      <c r="G43" s="11"/>
      <c r="H43" s="20"/>
      <c r="I43" s="11"/>
      <c r="J43" s="11"/>
      <c r="K43" s="26"/>
      <c r="L43" s="27">
        <f aca="true" t="shared" si="16" ref="L43:AK43">SUM(L44:L47)+SUM(L60:L61)+SUM(L70:L72)</f>
        <v>18975.85</v>
      </c>
      <c r="M43" s="27">
        <f t="shared" si="16"/>
        <v>17249</v>
      </c>
      <c r="N43" s="27">
        <f t="shared" si="16"/>
        <v>17249</v>
      </c>
      <c r="O43" s="27">
        <f t="shared" si="16"/>
        <v>0</v>
      </c>
      <c r="P43" s="27">
        <f t="shared" si="16"/>
        <v>0</v>
      </c>
      <c r="Q43" s="27">
        <f t="shared" si="16"/>
        <v>0</v>
      </c>
      <c r="R43" s="27">
        <f t="shared" si="16"/>
        <v>0</v>
      </c>
      <c r="S43" s="27">
        <f t="shared" si="16"/>
        <v>0</v>
      </c>
      <c r="T43" s="27">
        <f t="shared" si="16"/>
        <v>1726.85</v>
      </c>
      <c r="U43" s="36">
        <f t="shared" si="16"/>
        <v>0</v>
      </c>
      <c r="V43" s="36">
        <f t="shared" si="16"/>
        <v>0</v>
      </c>
      <c r="W43" s="36">
        <f t="shared" si="16"/>
        <v>0</v>
      </c>
      <c r="X43" s="36">
        <f t="shared" si="16"/>
        <v>3490.439133</v>
      </c>
      <c r="Y43" s="36">
        <f t="shared" si="16"/>
        <v>0</v>
      </c>
      <c r="Z43" s="36">
        <f t="shared" si="16"/>
        <v>0</v>
      </c>
      <c r="AA43" s="36">
        <f t="shared" si="16"/>
        <v>1222.80073</v>
      </c>
      <c r="AB43" s="36">
        <f t="shared" si="16"/>
        <v>3836.2941120000005</v>
      </c>
      <c r="AC43" s="36">
        <f t="shared" si="16"/>
        <v>2397.864211</v>
      </c>
      <c r="AD43" s="36">
        <f t="shared" si="16"/>
        <v>0</v>
      </c>
      <c r="AE43" s="36">
        <f t="shared" si="16"/>
        <v>0</v>
      </c>
      <c r="AF43" s="36">
        <f t="shared" si="16"/>
        <v>0</v>
      </c>
      <c r="AG43" s="36">
        <f t="shared" si="16"/>
        <v>0</v>
      </c>
      <c r="AH43" s="36">
        <f t="shared" si="16"/>
        <v>0</v>
      </c>
      <c r="AI43" s="36">
        <f t="shared" si="16"/>
        <v>0</v>
      </c>
      <c r="AJ43" s="36">
        <f t="shared" si="16"/>
        <v>0</v>
      </c>
      <c r="AK43" s="36">
        <f t="shared" si="16"/>
        <v>7456.959052999999</v>
      </c>
      <c r="AL43" s="51">
        <f t="shared" si="15"/>
        <v>0.3929710159492196</v>
      </c>
    </row>
    <row r="44" spans="1:38" ht="96" customHeight="1">
      <c r="A44" s="14">
        <v>26</v>
      </c>
      <c r="B44" s="14" t="s">
        <v>179</v>
      </c>
      <c r="C44" s="13" t="s">
        <v>180</v>
      </c>
      <c r="D44" s="14" t="s">
        <v>178</v>
      </c>
      <c r="E44" s="14" t="s">
        <v>181</v>
      </c>
      <c r="F44" s="14" t="s">
        <v>48</v>
      </c>
      <c r="G44" s="13" t="s">
        <v>182</v>
      </c>
      <c r="H44" s="15" t="s">
        <v>183</v>
      </c>
      <c r="I44" s="14" t="s">
        <v>125</v>
      </c>
      <c r="J44" s="14">
        <v>43.7</v>
      </c>
      <c r="K44" s="14" t="s">
        <v>184</v>
      </c>
      <c r="L44" s="14">
        <f aca="true" t="shared" si="17" ref="L44:L72">M44+T44+U44+V44+W44</f>
        <v>3000</v>
      </c>
      <c r="M44" s="14">
        <f aca="true" t="shared" si="18" ref="M44:M60">N44+O44+P44+Q44+R44+S44</f>
        <v>3000</v>
      </c>
      <c r="N44" s="14">
        <v>3000</v>
      </c>
      <c r="O44" s="14"/>
      <c r="P44" s="14"/>
      <c r="Q44" s="14"/>
      <c r="R44" s="14"/>
      <c r="S44" s="14"/>
      <c r="T44" s="14"/>
      <c r="U44" s="39"/>
      <c r="V44" s="39"/>
      <c r="W44" s="39"/>
      <c r="X44" s="38">
        <v>208</v>
      </c>
      <c r="Y44" s="38"/>
      <c r="Z44" s="38"/>
      <c r="AA44" s="38">
        <v>921.5814</v>
      </c>
      <c r="AB44" s="38">
        <v>407.6391</v>
      </c>
      <c r="AC44" s="38">
        <v>288.5545</v>
      </c>
      <c r="AD44" s="38"/>
      <c r="AE44" s="38"/>
      <c r="AF44" s="38"/>
      <c r="AG44" s="38"/>
      <c r="AH44" s="38"/>
      <c r="AI44" s="38"/>
      <c r="AJ44" s="38"/>
      <c r="AK44" s="44">
        <f aca="true" t="shared" si="19" ref="AK44:AK46">SUM(Y44:AJ44)</f>
        <v>1617.7749999999999</v>
      </c>
      <c r="AL44" s="52">
        <f t="shared" si="15"/>
        <v>0.5392583333333333</v>
      </c>
    </row>
    <row r="45" spans="1:38" ht="96" customHeight="1">
      <c r="A45" s="14">
        <v>27</v>
      </c>
      <c r="B45" s="14" t="s">
        <v>185</v>
      </c>
      <c r="C45" s="13" t="s">
        <v>186</v>
      </c>
      <c r="D45" s="14" t="s">
        <v>178</v>
      </c>
      <c r="E45" s="14" t="s">
        <v>187</v>
      </c>
      <c r="F45" s="14" t="s">
        <v>48</v>
      </c>
      <c r="G45" s="13" t="s">
        <v>188</v>
      </c>
      <c r="H45" s="15" t="s">
        <v>189</v>
      </c>
      <c r="I45" s="14" t="s">
        <v>190</v>
      </c>
      <c r="J45" s="14">
        <v>1</v>
      </c>
      <c r="K45" s="14" t="s">
        <v>191</v>
      </c>
      <c r="L45" s="14">
        <f t="shared" si="17"/>
        <v>2700</v>
      </c>
      <c r="M45" s="14">
        <f t="shared" si="18"/>
        <v>2700</v>
      </c>
      <c r="N45" s="14">
        <v>2700</v>
      </c>
      <c r="O45" s="14"/>
      <c r="P45" s="14"/>
      <c r="Q45" s="14"/>
      <c r="R45" s="14"/>
      <c r="S45" s="14"/>
      <c r="T45" s="14"/>
      <c r="U45" s="39"/>
      <c r="V45" s="39"/>
      <c r="W45" s="39"/>
      <c r="X45" s="38">
        <v>1300</v>
      </c>
      <c r="Y45" s="38"/>
      <c r="Z45" s="38"/>
      <c r="AA45" s="38"/>
      <c r="AB45" s="38">
        <v>110.2135</v>
      </c>
      <c r="AC45" s="38">
        <f>258.11787+216</f>
        <v>474.11787</v>
      </c>
      <c r="AD45" s="38"/>
      <c r="AE45" s="38"/>
      <c r="AF45" s="38"/>
      <c r="AG45" s="38"/>
      <c r="AH45" s="38"/>
      <c r="AI45" s="38"/>
      <c r="AJ45" s="38"/>
      <c r="AK45" s="44">
        <f t="shared" si="19"/>
        <v>584.33137</v>
      </c>
      <c r="AL45" s="52">
        <f t="shared" si="15"/>
        <v>0.21641902592592593</v>
      </c>
    </row>
    <row r="46" spans="1:38" ht="96" customHeight="1">
      <c r="A46" s="14">
        <v>28</v>
      </c>
      <c r="B46" s="14" t="s">
        <v>192</v>
      </c>
      <c r="C46" s="13" t="s">
        <v>193</v>
      </c>
      <c r="D46" s="14" t="s">
        <v>178</v>
      </c>
      <c r="E46" s="14" t="s">
        <v>187</v>
      </c>
      <c r="F46" s="14" t="s">
        <v>194</v>
      </c>
      <c r="G46" s="13" t="s">
        <v>195</v>
      </c>
      <c r="H46" s="15" t="s">
        <v>196</v>
      </c>
      <c r="I46" s="14" t="s">
        <v>190</v>
      </c>
      <c r="J46" s="14">
        <v>1</v>
      </c>
      <c r="K46" s="14" t="s">
        <v>197</v>
      </c>
      <c r="L46" s="14">
        <f t="shared" si="17"/>
        <v>2400</v>
      </c>
      <c r="M46" s="14">
        <f t="shared" si="18"/>
        <v>2400</v>
      </c>
      <c r="N46" s="14">
        <v>2400</v>
      </c>
      <c r="O46" s="14"/>
      <c r="P46" s="14"/>
      <c r="Q46" s="14"/>
      <c r="R46" s="14"/>
      <c r="S46" s="14"/>
      <c r="T46" s="14"/>
      <c r="U46" s="39"/>
      <c r="V46" s="39"/>
      <c r="W46" s="39"/>
      <c r="X46" s="38">
        <v>500</v>
      </c>
      <c r="Y46" s="38"/>
      <c r="Z46" s="38"/>
      <c r="AA46" s="38">
        <v>48.914134</v>
      </c>
      <c r="AB46" s="38">
        <v>500.729949</v>
      </c>
      <c r="AC46" s="45">
        <f>300.336531+1.2</f>
        <v>301.53653099999997</v>
      </c>
      <c r="AD46" s="38"/>
      <c r="AE46" s="38"/>
      <c r="AF46" s="38"/>
      <c r="AG46" s="38"/>
      <c r="AH46" s="38"/>
      <c r="AI46" s="38"/>
      <c r="AJ46" s="38"/>
      <c r="AK46" s="44">
        <f t="shared" si="19"/>
        <v>851.180614</v>
      </c>
      <c r="AL46" s="52">
        <f t="shared" si="15"/>
        <v>0.35465858916666665</v>
      </c>
    </row>
    <row r="47" spans="1:38" ht="96" customHeight="1">
      <c r="A47" s="16">
        <v>29</v>
      </c>
      <c r="B47" s="16" t="s">
        <v>198</v>
      </c>
      <c r="C47" s="17" t="s">
        <v>199</v>
      </c>
      <c r="D47" s="16" t="s">
        <v>178</v>
      </c>
      <c r="E47" s="16" t="s">
        <v>187</v>
      </c>
      <c r="F47" s="16" t="s">
        <v>48</v>
      </c>
      <c r="G47" s="17" t="s">
        <v>200</v>
      </c>
      <c r="H47" s="18" t="s">
        <v>201</v>
      </c>
      <c r="I47" s="16" t="s">
        <v>190</v>
      </c>
      <c r="J47" s="16">
        <v>28</v>
      </c>
      <c r="K47" s="16" t="s">
        <v>102</v>
      </c>
      <c r="L47" s="16">
        <f t="shared" si="17"/>
        <v>3906.85</v>
      </c>
      <c r="M47" s="16">
        <f t="shared" si="18"/>
        <v>3906.85</v>
      </c>
      <c r="N47" s="16">
        <f aca="true" t="shared" si="20" ref="N47:AK47">SUM(N48:N59)</f>
        <v>3906.85</v>
      </c>
      <c r="O47" s="16">
        <f t="shared" si="20"/>
        <v>0</v>
      </c>
      <c r="P47" s="16">
        <f t="shared" si="20"/>
        <v>0</v>
      </c>
      <c r="Q47" s="16">
        <f t="shared" si="20"/>
        <v>0</v>
      </c>
      <c r="R47" s="16">
        <f t="shared" si="20"/>
        <v>0</v>
      </c>
      <c r="S47" s="16">
        <f t="shared" si="20"/>
        <v>0</v>
      </c>
      <c r="T47" s="16">
        <f t="shared" si="20"/>
        <v>0</v>
      </c>
      <c r="U47" s="39">
        <f t="shared" si="20"/>
        <v>0</v>
      </c>
      <c r="V47" s="39">
        <f t="shared" si="20"/>
        <v>0</v>
      </c>
      <c r="W47" s="39">
        <f t="shared" si="20"/>
        <v>0</v>
      </c>
      <c r="X47" s="39">
        <f t="shared" si="20"/>
        <v>412.04245000000003</v>
      </c>
      <c r="Y47" s="38">
        <f t="shared" si="20"/>
        <v>0</v>
      </c>
      <c r="Z47" s="38">
        <f t="shared" si="20"/>
        <v>0</v>
      </c>
      <c r="AA47" s="38">
        <f t="shared" si="20"/>
        <v>252.305196</v>
      </c>
      <c r="AB47" s="38">
        <f t="shared" si="20"/>
        <v>509.32373</v>
      </c>
      <c r="AC47" s="38">
        <f t="shared" si="20"/>
        <v>410.43246500000004</v>
      </c>
      <c r="AD47" s="38">
        <f t="shared" si="20"/>
        <v>0</v>
      </c>
      <c r="AE47" s="38">
        <f t="shared" si="20"/>
        <v>0</v>
      </c>
      <c r="AF47" s="38">
        <f t="shared" si="20"/>
        <v>0</v>
      </c>
      <c r="AG47" s="38">
        <f t="shared" si="20"/>
        <v>0</v>
      </c>
      <c r="AH47" s="38">
        <f t="shared" si="20"/>
        <v>0</v>
      </c>
      <c r="AI47" s="38">
        <f t="shared" si="20"/>
        <v>0</v>
      </c>
      <c r="AJ47" s="38">
        <f t="shared" si="20"/>
        <v>0</v>
      </c>
      <c r="AK47" s="38">
        <f t="shared" si="20"/>
        <v>1172.061391</v>
      </c>
      <c r="AL47" s="53">
        <f t="shared" si="15"/>
        <v>0.30000163584473427</v>
      </c>
    </row>
    <row r="48" spans="1:38" ht="96" customHeight="1">
      <c r="A48" s="14"/>
      <c r="B48" s="14"/>
      <c r="C48" s="13"/>
      <c r="D48" s="14"/>
      <c r="E48" s="14"/>
      <c r="F48" s="14"/>
      <c r="G48" s="13"/>
      <c r="H48" s="15"/>
      <c r="I48" s="14"/>
      <c r="J48" s="14"/>
      <c r="K48" s="14" t="s">
        <v>103</v>
      </c>
      <c r="L48" s="14">
        <f t="shared" si="17"/>
        <v>136.85</v>
      </c>
      <c r="M48" s="14">
        <f t="shared" si="18"/>
        <v>136.85</v>
      </c>
      <c r="N48" s="14">
        <v>136.85</v>
      </c>
      <c r="O48" s="14"/>
      <c r="P48" s="14"/>
      <c r="Q48" s="14"/>
      <c r="R48" s="14"/>
      <c r="S48" s="14"/>
      <c r="T48" s="14"/>
      <c r="U48" s="39"/>
      <c r="V48" s="39"/>
      <c r="W48" s="39"/>
      <c r="X48" s="38"/>
      <c r="Y48" s="38"/>
      <c r="Z48" s="38"/>
      <c r="AA48" s="38"/>
      <c r="AB48" s="38"/>
      <c r="AC48" s="38"/>
      <c r="AD48" s="38"/>
      <c r="AE48" s="38"/>
      <c r="AF48" s="38"/>
      <c r="AG48" s="38"/>
      <c r="AH48" s="38"/>
      <c r="AI48" s="38"/>
      <c r="AJ48" s="38"/>
      <c r="AK48" s="44">
        <f aca="true" t="shared" si="21" ref="AK48:AK72">SUM(Y48:AJ48)</f>
        <v>0</v>
      </c>
      <c r="AL48" s="52"/>
    </row>
    <row r="49" spans="1:38" ht="96" customHeight="1">
      <c r="A49" s="14"/>
      <c r="B49" s="14"/>
      <c r="C49" s="13"/>
      <c r="D49" s="14"/>
      <c r="E49" s="14"/>
      <c r="F49" s="14"/>
      <c r="G49" s="13"/>
      <c r="H49" s="15"/>
      <c r="I49" s="14"/>
      <c r="J49" s="14"/>
      <c r="K49" s="14" t="s">
        <v>104</v>
      </c>
      <c r="L49" s="14">
        <f t="shared" si="17"/>
        <v>80</v>
      </c>
      <c r="M49" s="14">
        <f t="shared" si="18"/>
        <v>80</v>
      </c>
      <c r="N49" s="14">
        <f>80</f>
        <v>80</v>
      </c>
      <c r="O49" s="14"/>
      <c r="P49" s="14"/>
      <c r="Q49" s="14"/>
      <c r="R49" s="14"/>
      <c r="S49" s="14"/>
      <c r="T49" s="14"/>
      <c r="U49" s="39"/>
      <c r="V49" s="39"/>
      <c r="W49" s="39"/>
      <c r="X49" s="38">
        <f>48+20.457</f>
        <v>68.457</v>
      </c>
      <c r="Y49" s="38"/>
      <c r="Z49" s="38"/>
      <c r="AA49" s="38"/>
      <c r="AB49" s="38">
        <v>0.15</v>
      </c>
      <c r="AC49" s="45">
        <v>68.349465</v>
      </c>
      <c r="AD49" s="38"/>
      <c r="AE49" s="38"/>
      <c r="AF49" s="38"/>
      <c r="AG49" s="38"/>
      <c r="AH49" s="38"/>
      <c r="AI49" s="38"/>
      <c r="AJ49" s="38"/>
      <c r="AK49" s="44">
        <f t="shared" si="21"/>
        <v>68.499465</v>
      </c>
      <c r="AL49" s="52"/>
    </row>
    <row r="50" spans="1:38" ht="96" customHeight="1">
      <c r="A50" s="14"/>
      <c r="B50" s="14"/>
      <c r="C50" s="13"/>
      <c r="D50" s="14"/>
      <c r="E50" s="14"/>
      <c r="F50" s="14"/>
      <c r="G50" s="13"/>
      <c r="H50" s="15"/>
      <c r="I50" s="14"/>
      <c r="J50" s="14"/>
      <c r="K50" s="14" t="s">
        <v>127</v>
      </c>
      <c r="L50" s="14">
        <f t="shared" si="17"/>
        <v>380</v>
      </c>
      <c r="M50" s="14">
        <f t="shared" si="18"/>
        <v>380</v>
      </c>
      <c r="N50" s="14">
        <v>380</v>
      </c>
      <c r="O50" s="14"/>
      <c r="P50" s="14"/>
      <c r="Q50" s="14"/>
      <c r="R50" s="14"/>
      <c r="S50" s="14"/>
      <c r="T50" s="14"/>
      <c r="U50" s="39"/>
      <c r="V50" s="39"/>
      <c r="W50" s="39"/>
      <c r="X50" s="38"/>
      <c r="Y50" s="38"/>
      <c r="Z50" s="38"/>
      <c r="AA50" s="38">
        <v>119.147596</v>
      </c>
      <c r="AB50" s="38">
        <v>45.3188</v>
      </c>
      <c r="AC50" s="38"/>
      <c r="AD50" s="38"/>
      <c r="AE50" s="38"/>
      <c r="AF50" s="38"/>
      <c r="AG50" s="38"/>
      <c r="AH50" s="38"/>
      <c r="AI50" s="38"/>
      <c r="AJ50" s="38"/>
      <c r="AK50" s="44">
        <f t="shared" si="21"/>
        <v>164.466396</v>
      </c>
      <c r="AL50" s="52"/>
    </row>
    <row r="51" spans="1:38" ht="96" customHeight="1">
      <c r="A51" s="14"/>
      <c r="B51" s="14"/>
      <c r="C51" s="13"/>
      <c r="D51" s="14"/>
      <c r="E51" s="14"/>
      <c r="F51" s="14"/>
      <c r="G51" s="13"/>
      <c r="H51" s="15"/>
      <c r="I51" s="14"/>
      <c r="J51" s="14"/>
      <c r="K51" s="14" t="s">
        <v>128</v>
      </c>
      <c r="L51" s="14">
        <f t="shared" si="17"/>
        <v>440</v>
      </c>
      <c r="M51" s="14">
        <f t="shared" si="18"/>
        <v>440</v>
      </c>
      <c r="N51" s="14">
        <f>90+350</f>
        <v>440</v>
      </c>
      <c r="O51" s="14"/>
      <c r="P51" s="14"/>
      <c r="Q51" s="14"/>
      <c r="R51" s="14"/>
      <c r="S51" s="14"/>
      <c r="T51" s="14"/>
      <c r="U51" s="39"/>
      <c r="V51" s="39"/>
      <c r="W51" s="39"/>
      <c r="X51" s="38">
        <v>23.577</v>
      </c>
      <c r="Y51" s="38"/>
      <c r="Z51" s="38"/>
      <c r="AA51" s="38">
        <v>7.125</v>
      </c>
      <c r="AB51" s="38">
        <v>47.163894</v>
      </c>
      <c r="AC51" s="38">
        <v>22.677</v>
      </c>
      <c r="AD51" s="38"/>
      <c r="AE51" s="38"/>
      <c r="AF51" s="38"/>
      <c r="AG51" s="38"/>
      <c r="AH51" s="38"/>
      <c r="AI51" s="38"/>
      <c r="AJ51" s="38"/>
      <c r="AK51" s="44">
        <f t="shared" si="21"/>
        <v>76.96589399999999</v>
      </c>
      <c r="AL51" s="52"/>
    </row>
    <row r="52" spans="1:38" ht="96" customHeight="1">
      <c r="A52" s="14"/>
      <c r="B52" s="14"/>
      <c r="C52" s="13"/>
      <c r="D52" s="14"/>
      <c r="E52" s="14"/>
      <c r="F52" s="14"/>
      <c r="G52" s="13"/>
      <c r="H52" s="15"/>
      <c r="I52" s="14"/>
      <c r="J52" s="14"/>
      <c r="K52" s="14" t="s">
        <v>129</v>
      </c>
      <c r="L52" s="14">
        <f t="shared" si="17"/>
        <v>150</v>
      </c>
      <c r="M52" s="14">
        <f t="shared" si="18"/>
        <v>150</v>
      </c>
      <c r="N52" s="14">
        <v>150</v>
      </c>
      <c r="O52" s="14"/>
      <c r="P52" s="14"/>
      <c r="Q52" s="14"/>
      <c r="R52" s="14"/>
      <c r="S52" s="14"/>
      <c r="T52" s="14"/>
      <c r="U52" s="39"/>
      <c r="V52" s="39"/>
      <c r="W52" s="39"/>
      <c r="X52" s="38">
        <v>29.5653</v>
      </c>
      <c r="Y52" s="38"/>
      <c r="Z52" s="38"/>
      <c r="AA52" s="38"/>
      <c r="AB52" s="38">
        <v>79.866867</v>
      </c>
      <c r="AC52" s="38">
        <v>29.5653</v>
      </c>
      <c r="AD52" s="38"/>
      <c r="AE52" s="38"/>
      <c r="AF52" s="38"/>
      <c r="AG52" s="38"/>
      <c r="AH52" s="38"/>
      <c r="AI52" s="38"/>
      <c r="AJ52" s="38"/>
      <c r="AK52" s="44">
        <f t="shared" si="21"/>
        <v>109.43216699999999</v>
      </c>
      <c r="AL52" s="52"/>
    </row>
    <row r="53" spans="1:38" ht="96" customHeight="1">
      <c r="A53" s="14"/>
      <c r="B53" s="14"/>
      <c r="C53" s="13"/>
      <c r="D53" s="14"/>
      <c r="E53" s="14"/>
      <c r="F53" s="14"/>
      <c r="G53" s="13"/>
      <c r="H53" s="15"/>
      <c r="I53" s="14"/>
      <c r="J53" s="14"/>
      <c r="K53" s="14" t="s">
        <v>202</v>
      </c>
      <c r="L53" s="14">
        <f t="shared" si="17"/>
        <v>300</v>
      </c>
      <c r="M53" s="14">
        <f t="shared" si="18"/>
        <v>300</v>
      </c>
      <c r="N53" s="14">
        <v>300</v>
      </c>
      <c r="O53" s="14"/>
      <c r="P53" s="14"/>
      <c r="Q53" s="14"/>
      <c r="R53" s="14"/>
      <c r="S53" s="14"/>
      <c r="T53" s="14"/>
      <c r="U53" s="39"/>
      <c r="V53" s="39"/>
      <c r="W53" s="39"/>
      <c r="X53" s="38"/>
      <c r="Y53" s="38"/>
      <c r="Z53" s="38"/>
      <c r="AA53" s="38"/>
      <c r="AB53" s="38"/>
      <c r="AC53" s="38"/>
      <c r="AD53" s="38"/>
      <c r="AE53" s="38"/>
      <c r="AF53" s="38"/>
      <c r="AG53" s="38"/>
      <c r="AH53" s="38"/>
      <c r="AI53" s="38"/>
      <c r="AJ53" s="38"/>
      <c r="AK53" s="44">
        <f t="shared" si="21"/>
        <v>0</v>
      </c>
      <c r="AL53" s="52"/>
    </row>
    <row r="54" spans="1:38" ht="96" customHeight="1">
      <c r="A54" s="14"/>
      <c r="B54" s="14"/>
      <c r="C54" s="13"/>
      <c r="D54" s="14"/>
      <c r="E54" s="14"/>
      <c r="F54" s="14"/>
      <c r="G54" s="13"/>
      <c r="H54" s="15"/>
      <c r="I54" s="14"/>
      <c r="J54" s="14"/>
      <c r="K54" s="14" t="s">
        <v>130</v>
      </c>
      <c r="L54" s="14">
        <f t="shared" si="17"/>
        <v>600</v>
      </c>
      <c r="M54" s="14">
        <f t="shared" si="18"/>
        <v>600</v>
      </c>
      <c r="N54" s="14">
        <f>250+350</f>
        <v>600</v>
      </c>
      <c r="O54" s="14"/>
      <c r="P54" s="14"/>
      <c r="Q54" s="14"/>
      <c r="R54" s="14"/>
      <c r="S54" s="14"/>
      <c r="T54" s="14"/>
      <c r="U54" s="39"/>
      <c r="V54" s="39"/>
      <c r="W54" s="39"/>
      <c r="X54" s="38">
        <f>4.6248+50.5808</f>
        <v>55.205600000000004</v>
      </c>
      <c r="Y54" s="38"/>
      <c r="Z54" s="38"/>
      <c r="AA54" s="38">
        <v>73.29</v>
      </c>
      <c r="AB54" s="38">
        <v>85.206565</v>
      </c>
      <c r="AC54" s="38">
        <f>53.7398+1.4658</f>
        <v>55.205600000000004</v>
      </c>
      <c r="AD54" s="38"/>
      <c r="AE54" s="38"/>
      <c r="AF54" s="38"/>
      <c r="AG54" s="38"/>
      <c r="AH54" s="38"/>
      <c r="AI54" s="38"/>
      <c r="AJ54" s="38"/>
      <c r="AK54" s="44">
        <f t="shared" si="21"/>
        <v>213.702165</v>
      </c>
      <c r="AL54" s="52"/>
    </row>
    <row r="55" spans="1:38" ht="96" customHeight="1">
      <c r="A55" s="14"/>
      <c r="B55" s="14"/>
      <c r="C55" s="13"/>
      <c r="D55" s="14"/>
      <c r="E55" s="14"/>
      <c r="F55" s="14"/>
      <c r="G55" s="13"/>
      <c r="H55" s="15"/>
      <c r="I55" s="14"/>
      <c r="J55" s="14"/>
      <c r="K55" s="14" t="s">
        <v>203</v>
      </c>
      <c r="L55" s="14">
        <f t="shared" si="17"/>
        <v>210</v>
      </c>
      <c r="M55" s="14">
        <f t="shared" si="18"/>
        <v>210</v>
      </c>
      <c r="N55" s="14">
        <v>210</v>
      </c>
      <c r="O55" s="14"/>
      <c r="P55" s="14"/>
      <c r="Q55" s="14"/>
      <c r="R55" s="14"/>
      <c r="S55" s="14"/>
      <c r="T55" s="14"/>
      <c r="U55" s="39"/>
      <c r="V55" s="39"/>
      <c r="W55" s="39"/>
      <c r="X55" s="38">
        <f>0.60245+52.7426</f>
        <v>53.34505</v>
      </c>
      <c r="Y55" s="38"/>
      <c r="Z55" s="38"/>
      <c r="AA55" s="38">
        <v>52.7426</v>
      </c>
      <c r="AB55" s="38">
        <v>69.93925</v>
      </c>
      <c r="AC55" s="38">
        <v>52.7426</v>
      </c>
      <c r="AD55" s="38"/>
      <c r="AE55" s="38"/>
      <c r="AF55" s="38"/>
      <c r="AG55" s="38"/>
      <c r="AH55" s="38"/>
      <c r="AI55" s="38"/>
      <c r="AJ55" s="38"/>
      <c r="AK55" s="44">
        <f t="shared" si="21"/>
        <v>175.42445</v>
      </c>
      <c r="AL55" s="52"/>
    </row>
    <row r="56" spans="1:38" ht="96" customHeight="1">
      <c r="A56" s="14"/>
      <c r="B56" s="14"/>
      <c r="C56" s="13"/>
      <c r="D56" s="14"/>
      <c r="E56" s="14"/>
      <c r="F56" s="14"/>
      <c r="G56" s="13"/>
      <c r="H56" s="15"/>
      <c r="I56" s="14"/>
      <c r="J56" s="14"/>
      <c r="K56" s="14" t="s">
        <v>204</v>
      </c>
      <c r="L56" s="14">
        <f t="shared" si="17"/>
        <v>400</v>
      </c>
      <c r="M56" s="14">
        <f t="shared" si="18"/>
        <v>400</v>
      </c>
      <c r="N56" s="14">
        <v>400</v>
      </c>
      <c r="O56" s="14"/>
      <c r="P56" s="14"/>
      <c r="Q56" s="14"/>
      <c r="R56" s="14"/>
      <c r="S56" s="14"/>
      <c r="T56" s="14"/>
      <c r="U56" s="39"/>
      <c r="V56" s="39"/>
      <c r="W56" s="39"/>
      <c r="X56" s="38"/>
      <c r="Y56" s="38"/>
      <c r="Z56" s="38"/>
      <c r="AA56" s="38"/>
      <c r="AB56" s="38"/>
      <c r="AC56" s="38"/>
      <c r="AD56" s="38"/>
      <c r="AE56" s="38"/>
      <c r="AF56" s="38"/>
      <c r="AG56" s="38"/>
      <c r="AH56" s="38"/>
      <c r="AI56" s="38"/>
      <c r="AJ56" s="38"/>
      <c r="AK56" s="44">
        <f t="shared" si="21"/>
        <v>0</v>
      </c>
      <c r="AL56" s="52"/>
    </row>
    <row r="57" spans="1:38" ht="96" customHeight="1">
      <c r="A57" s="14"/>
      <c r="B57" s="14"/>
      <c r="C57" s="13"/>
      <c r="D57" s="14"/>
      <c r="E57" s="14"/>
      <c r="F57" s="14"/>
      <c r="G57" s="13"/>
      <c r="H57" s="15"/>
      <c r="I57" s="14"/>
      <c r="J57" s="14"/>
      <c r="K57" s="14" t="s">
        <v>131</v>
      </c>
      <c r="L57" s="14">
        <f t="shared" si="17"/>
        <v>660</v>
      </c>
      <c r="M57" s="14">
        <f t="shared" si="18"/>
        <v>660</v>
      </c>
      <c r="N57" s="14">
        <f>340+320</f>
        <v>660</v>
      </c>
      <c r="O57" s="14"/>
      <c r="P57" s="14"/>
      <c r="Q57" s="14"/>
      <c r="R57" s="14"/>
      <c r="S57" s="14"/>
      <c r="T57" s="14"/>
      <c r="U57" s="39"/>
      <c r="V57" s="39"/>
      <c r="W57" s="39"/>
      <c r="X57" s="38">
        <v>181.8925</v>
      </c>
      <c r="Y57" s="38"/>
      <c r="Z57" s="38"/>
      <c r="AA57" s="38"/>
      <c r="AB57" s="38">
        <v>118.339291</v>
      </c>
      <c r="AC57" s="46">
        <v>181.8925</v>
      </c>
      <c r="AD57" s="38"/>
      <c r="AE57" s="38"/>
      <c r="AF57" s="38"/>
      <c r="AG57" s="38"/>
      <c r="AH57" s="38"/>
      <c r="AI57" s="38"/>
      <c r="AJ57" s="38"/>
      <c r="AK57" s="44">
        <f t="shared" si="21"/>
        <v>300.23179100000004</v>
      </c>
      <c r="AL57" s="52"/>
    </row>
    <row r="58" spans="1:38" ht="96" customHeight="1">
      <c r="A58" s="14"/>
      <c r="B58" s="14"/>
      <c r="C58" s="13"/>
      <c r="D58" s="14"/>
      <c r="E58" s="14"/>
      <c r="F58" s="14"/>
      <c r="G58" s="13"/>
      <c r="H58" s="15"/>
      <c r="I58" s="14"/>
      <c r="J58" s="14"/>
      <c r="K58" s="14" t="s">
        <v>205</v>
      </c>
      <c r="L58" s="14">
        <f t="shared" si="17"/>
        <v>350</v>
      </c>
      <c r="M58" s="14">
        <f t="shared" si="18"/>
        <v>350</v>
      </c>
      <c r="N58" s="14">
        <v>350</v>
      </c>
      <c r="O58" s="14"/>
      <c r="P58" s="14"/>
      <c r="Q58" s="14"/>
      <c r="R58" s="14"/>
      <c r="S58" s="14"/>
      <c r="T58" s="14"/>
      <c r="U58" s="39"/>
      <c r="V58" s="39"/>
      <c r="W58" s="39"/>
      <c r="X58" s="38"/>
      <c r="Y58" s="38"/>
      <c r="Z58" s="38"/>
      <c r="AA58" s="38"/>
      <c r="AB58" s="38"/>
      <c r="AC58" s="38"/>
      <c r="AD58" s="38"/>
      <c r="AE58" s="38"/>
      <c r="AF58" s="38"/>
      <c r="AG58" s="38"/>
      <c r="AH58" s="38"/>
      <c r="AI58" s="38"/>
      <c r="AJ58" s="38"/>
      <c r="AK58" s="44">
        <f t="shared" si="21"/>
        <v>0</v>
      </c>
      <c r="AL58" s="52"/>
    </row>
    <row r="59" spans="1:38" ht="96" customHeight="1">
      <c r="A59" s="14"/>
      <c r="B59" s="14"/>
      <c r="C59" s="13"/>
      <c r="D59" s="14"/>
      <c r="E59" s="14"/>
      <c r="F59" s="14"/>
      <c r="G59" s="13"/>
      <c r="H59" s="15"/>
      <c r="I59" s="14"/>
      <c r="J59" s="14"/>
      <c r="K59" s="14" t="s">
        <v>77</v>
      </c>
      <c r="L59" s="14">
        <f t="shared" si="17"/>
        <v>200</v>
      </c>
      <c r="M59" s="14">
        <f t="shared" si="18"/>
        <v>200</v>
      </c>
      <c r="N59" s="14">
        <f>100+100</f>
        <v>200</v>
      </c>
      <c r="O59" s="14"/>
      <c r="P59" s="14"/>
      <c r="Q59" s="14"/>
      <c r="R59" s="14"/>
      <c r="S59" s="14"/>
      <c r="T59" s="14"/>
      <c r="U59" s="39"/>
      <c r="V59" s="39"/>
      <c r="W59" s="39"/>
      <c r="X59" s="38"/>
      <c r="Y59" s="38"/>
      <c r="Z59" s="38"/>
      <c r="AA59" s="38"/>
      <c r="AB59" s="38">
        <v>63.339063</v>
      </c>
      <c r="AC59" s="38"/>
      <c r="AD59" s="38"/>
      <c r="AE59" s="38"/>
      <c r="AF59" s="38"/>
      <c r="AG59" s="38"/>
      <c r="AH59" s="38"/>
      <c r="AI59" s="38"/>
      <c r="AJ59" s="38"/>
      <c r="AK59" s="44">
        <f t="shared" si="21"/>
        <v>63.339063</v>
      </c>
      <c r="AL59" s="52"/>
    </row>
    <row r="60" spans="1:38" ht="96" customHeight="1">
      <c r="A60" s="14">
        <v>30</v>
      </c>
      <c r="B60" s="14" t="s">
        <v>206</v>
      </c>
      <c r="C60" s="13" t="s">
        <v>207</v>
      </c>
      <c r="D60" s="14" t="s">
        <v>178</v>
      </c>
      <c r="E60" s="14" t="s">
        <v>208</v>
      </c>
      <c r="F60" s="14" t="s">
        <v>48</v>
      </c>
      <c r="G60" s="13" t="s">
        <v>209</v>
      </c>
      <c r="H60" s="15" t="s">
        <v>210</v>
      </c>
      <c r="I60" s="14" t="s">
        <v>125</v>
      </c>
      <c r="J60" s="14">
        <v>1</v>
      </c>
      <c r="K60" s="14" t="s">
        <v>184</v>
      </c>
      <c r="L60" s="14">
        <f t="shared" si="17"/>
        <v>390</v>
      </c>
      <c r="M60" s="14">
        <f t="shared" si="18"/>
        <v>143.15</v>
      </c>
      <c r="N60" s="14">
        <v>143.15</v>
      </c>
      <c r="O60" s="14"/>
      <c r="P60" s="14"/>
      <c r="Q60" s="14"/>
      <c r="R60" s="14"/>
      <c r="S60" s="14"/>
      <c r="T60" s="14">
        <v>246.85</v>
      </c>
      <c r="U60" s="39"/>
      <c r="V60" s="39"/>
      <c r="W60" s="39"/>
      <c r="X60" s="38">
        <v>115</v>
      </c>
      <c r="Y60" s="38"/>
      <c r="Z60" s="38"/>
      <c r="AA60" s="38"/>
      <c r="AB60" s="38">
        <v>13</v>
      </c>
      <c r="AC60" s="38">
        <v>-13</v>
      </c>
      <c r="AD60" s="38"/>
      <c r="AE60" s="38"/>
      <c r="AF60" s="38"/>
      <c r="AG60" s="38"/>
      <c r="AH60" s="38"/>
      <c r="AI60" s="38"/>
      <c r="AJ60" s="38"/>
      <c r="AK60" s="44">
        <f t="shared" si="21"/>
        <v>0</v>
      </c>
      <c r="AL60" s="52">
        <f>AK60/L60</f>
        <v>0</v>
      </c>
    </row>
    <row r="61" spans="1:38" ht="96" customHeight="1">
      <c r="A61" s="16">
        <v>31</v>
      </c>
      <c r="B61" s="16" t="s">
        <v>211</v>
      </c>
      <c r="C61" s="17" t="s">
        <v>212</v>
      </c>
      <c r="D61" s="16" t="s">
        <v>178</v>
      </c>
      <c r="E61" s="16" t="s">
        <v>213</v>
      </c>
      <c r="F61" s="16" t="s">
        <v>48</v>
      </c>
      <c r="G61" s="17" t="s">
        <v>214</v>
      </c>
      <c r="H61" s="18" t="s">
        <v>215</v>
      </c>
      <c r="I61" s="16" t="s">
        <v>58</v>
      </c>
      <c r="J61" s="16">
        <v>8</v>
      </c>
      <c r="K61" s="16" t="s">
        <v>216</v>
      </c>
      <c r="L61" s="16">
        <f t="shared" si="17"/>
        <v>280</v>
      </c>
      <c r="M61" s="16"/>
      <c r="N61" s="16"/>
      <c r="O61" s="16"/>
      <c r="P61" s="16"/>
      <c r="Q61" s="16"/>
      <c r="R61" s="16"/>
      <c r="S61" s="16"/>
      <c r="T61" s="16">
        <f aca="true" t="shared" si="22" ref="T61:AJ61">SUM(T62:T69)</f>
        <v>280</v>
      </c>
      <c r="U61" s="39"/>
      <c r="V61" s="39"/>
      <c r="W61" s="39"/>
      <c r="X61" s="38">
        <f t="shared" si="22"/>
        <v>58.09668299999999</v>
      </c>
      <c r="Y61" s="38">
        <f t="shared" si="22"/>
        <v>0</v>
      </c>
      <c r="Z61" s="38">
        <f t="shared" si="22"/>
        <v>0</v>
      </c>
      <c r="AA61" s="38">
        <f t="shared" si="22"/>
        <v>0</v>
      </c>
      <c r="AB61" s="38">
        <f t="shared" si="22"/>
        <v>6.583</v>
      </c>
      <c r="AC61" s="38">
        <f t="shared" si="22"/>
        <v>38.745605</v>
      </c>
      <c r="AD61" s="38">
        <f t="shared" si="22"/>
        <v>0</v>
      </c>
      <c r="AE61" s="38">
        <f t="shared" si="22"/>
        <v>0</v>
      </c>
      <c r="AF61" s="38">
        <f t="shared" si="22"/>
        <v>0</v>
      </c>
      <c r="AG61" s="38">
        <f t="shared" si="22"/>
        <v>0</v>
      </c>
      <c r="AH61" s="38">
        <f t="shared" si="22"/>
        <v>0</v>
      </c>
      <c r="AI61" s="38">
        <f t="shared" si="22"/>
        <v>0</v>
      </c>
      <c r="AJ61" s="38">
        <f t="shared" si="22"/>
        <v>0</v>
      </c>
      <c r="AK61" s="44">
        <f t="shared" si="21"/>
        <v>45.328604999999996</v>
      </c>
      <c r="AL61" s="53">
        <f>AK61/L61</f>
        <v>0.161887875</v>
      </c>
    </row>
    <row r="62" spans="1:38" ht="18.75">
      <c r="A62" s="14"/>
      <c r="B62" s="14"/>
      <c r="C62" s="13"/>
      <c r="D62" s="14"/>
      <c r="E62" s="14"/>
      <c r="F62" s="14"/>
      <c r="G62" s="13"/>
      <c r="H62" s="15"/>
      <c r="I62" s="14"/>
      <c r="J62" s="14"/>
      <c r="K62" s="14" t="s">
        <v>103</v>
      </c>
      <c r="L62" s="14">
        <f t="shared" si="17"/>
        <v>35</v>
      </c>
      <c r="M62" s="14">
        <f aca="true" t="shared" si="23" ref="M62:M72">N62+O62+P62+Q62+R62+S62</f>
        <v>0</v>
      </c>
      <c r="N62" s="14"/>
      <c r="O62" s="14"/>
      <c r="P62" s="14"/>
      <c r="Q62" s="14"/>
      <c r="R62" s="14"/>
      <c r="S62" s="14"/>
      <c r="T62" s="14">
        <v>35</v>
      </c>
      <c r="U62" s="39"/>
      <c r="V62" s="39"/>
      <c r="W62" s="39"/>
      <c r="X62" s="38"/>
      <c r="Y62" s="38"/>
      <c r="Z62" s="38"/>
      <c r="AA62" s="38"/>
      <c r="AB62" s="38"/>
      <c r="AC62" s="38">
        <f>8.566495+1.66</f>
        <v>10.226495</v>
      </c>
      <c r="AD62" s="38"/>
      <c r="AE62" s="38"/>
      <c r="AF62" s="38"/>
      <c r="AG62" s="38"/>
      <c r="AH62" s="38"/>
      <c r="AI62" s="38"/>
      <c r="AJ62" s="38"/>
      <c r="AK62" s="44">
        <f t="shared" si="21"/>
        <v>10.226495</v>
      </c>
      <c r="AL62" s="52"/>
    </row>
    <row r="63" spans="1:38" ht="18.75">
      <c r="A63" s="14"/>
      <c r="B63" s="14"/>
      <c r="C63" s="13"/>
      <c r="D63" s="14"/>
      <c r="E63" s="14"/>
      <c r="F63" s="14"/>
      <c r="G63" s="13"/>
      <c r="H63" s="15"/>
      <c r="I63" s="14"/>
      <c r="J63" s="14"/>
      <c r="K63" s="14" t="s">
        <v>104</v>
      </c>
      <c r="L63" s="14">
        <f t="shared" si="17"/>
        <v>35</v>
      </c>
      <c r="M63" s="14">
        <f t="shared" si="23"/>
        <v>0</v>
      </c>
      <c r="N63" s="14"/>
      <c r="O63" s="14"/>
      <c r="P63" s="14"/>
      <c r="Q63" s="14"/>
      <c r="R63" s="14"/>
      <c r="S63" s="14"/>
      <c r="T63" s="14">
        <v>35</v>
      </c>
      <c r="U63" s="39"/>
      <c r="V63" s="39"/>
      <c r="W63" s="39"/>
      <c r="X63" s="38">
        <v>8.4</v>
      </c>
      <c r="Y63" s="38"/>
      <c r="Z63" s="38"/>
      <c r="AA63" s="38"/>
      <c r="AB63" s="38">
        <v>0.02</v>
      </c>
      <c r="AC63" s="45">
        <v>10.5978</v>
      </c>
      <c r="AD63" s="38"/>
      <c r="AE63" s="38"/>
      <c r="AF63" s="38"/>
      <c r="AG63" s="38"/>
      <c r="AH63" s="38"/>
      <c r="AI63" s="38"/>
      <c r="AJ63" s="38"/>
      <c r="AK63" s="44">
        <f t="shared" si="21"/>
        <v>10.617799999999999</v>
      </c>
      <c r="AL63" s="52"/>
    </row>
    <row r="64" spans="1:38" ht="18.75">
      <c r="A64" s="14"/>
      <c r="B64" s="14"/>
      <c r="C64" s="13"/>
      <c r="D64" s="14"/>
      <c r="E64" s="14"/>
      <c r="F64" s="14"/>
      <c r="G64" s="13"/>
      <c r="H64" s="15"/>
      <c r="I64" s="14"/>
      <c r="J64" s="14"/>
      <c r="K64" s="14" t="s">
        <v>128</v>
      </c>
      <c r="L64" s="14">
        <f t="shared" si="17"/>
        <v>35</v>
      </c>
      <c r="M64" s="14">
        <f t="shared" si="23"/>
        <v>0</v>
      </c>
      <c r="N64" s="14"/>
      <c r="O64" s="14"/>
      <c r="P64" s="14"/>
      <c r="Q64" s="14"/>
      <c r="R64" s="14"/>
      <c r="S64" s="14"/>
      <c r="T64" s="14">
        <v>35</v>
      </c>
      <c r="U64" s="39"/>
      <c r="V64" s="39"/>
      <c r="W64" s="39"/>
      <c r="X64" s="38"/>
      <c r="Y64" s="38"/>
      <c r="Z64" s="38"/>
      <c r="AA64" s="38"/>
      <c r="AB64" s="45"/>
      <c r="AC64" s="38"/>
      <c r="AD64" s="38"/>
      <c r="AE64" s="38"/>
      <c r="AF64" s="38"/>
      <c r="AG64" s="38"/>
      <c r="AH64" s="38"/>
      <c r="AI64" s="38"/>
      <c r="AJ64" s="38"/>
      <c r="AK64" s="44">
        <f t="shared" si="21"/>
        <v>0</v>
      </c>
      <c r="AL64" s="52"/>
    </row>
    <row r="65" spans="1:38" ht="18.75">
      <c r="A65" s="14"/>
      <c r="B65" s="14"/>
      <c r="C65" s="13"/>
      <c r="D65" s="14"/>
      <c r="E65" s="14"/>
      <c r="F65" s="14"/>
      <c r="G65" s="13"/>
      <c r="H65" s="15"/>
      <c r="I65" s="14"/>
      <c r="J65" s="14"/>
      <c r="K65" s="14" t="s">
        <v>129</v>
      </c>
      <c r="L65" s="14">
        <f t="shared" si="17"/>
        <v>35</v>
      </c>
      <c r="M65" s="14">
        <f t="shared" si="23"/>
        <v>0</v>
      </c>
      <c r="N65" s="14"/>
      <c r="O65" s="14"/>
      <c r="P65" s="14"/>
      <c r="Q65" s="14"/>
      <c r="R65" s="14"/>
      <c r="S65" s="14"/>
      <c r="T65" s="14">
        <v>35</v>
      </c>
      <c r="U65" s="39"/>
      <c r="V65" s="39"/>
      <c r="W65" s="39"/>
      <c r="X65" s="38">
        <v>8</v>
      </c>
      <c r="Y65" s="38"/>
      <c r="Z65" s="38"/>
      <c r="AA65" s="38"/>
      <c r="AB65" s="38">
        <v>6.078</v>
      </c>
      <c r="AC65" s="38">
        <v>8.5388</v>
      </c>
      <c r="AD65" s="38"/>
      <c r="AE65" s="38"/>
      <c r="AF65" s="38"/>
      <c r="AG65" s="38"/>
      <c r="AH65" s="38"/>
      <c r="AI65" s="38"/>
      <c r="AJ65" s="38"/>
      <c r="AK65" s="44">
        <f t="shared" si="21"/>
        <v>14.616800000000001</v>
      </c>
      <c r="AL65" s="52"/>
    </row>
    <row r="66" spans="1:38" ht="18.75">
      <c r="A66" s="14"/>
      <c r="B66" s="14"/>
      <c r="C66" s="13"/>
      <c r="D66" s="14"/>
      <c r="E66" s="14"/>
      <c r="F66" s="14"/>
      <c r="G66" s="13"/>
      <c r="H66" s="15"/>
      <c r="I66" s="14"/>
      <c r="J66" s="14"/>
      <c r="K66" s="14" t="s">
        <v>130</v>
      </c>
      <c r="L66" s="14">
        <f t="shared" si="17"/>
        <v>35</v>
      </c>
      <c r="M66" s="14">
        <f t="shared" si="23"/>
        <v>0</v>
      </c>
      <c r="N66" s="14"/>
      <c r="O66" s="14"/>
      <c r="P66" s="14"/>
      <c r="Q66" s="14"/>
      <c r="R66" s="14"/>
      <c r="S66" s="14"/>
      <c r="T66" s="14">
        <v>35</v>
      </c>
      <c r="U66" s="39"/>
      <c r="V66" s="39"/>
      <c r="W66" s="39"/>
      <c r="X66" s="38">
        <v>22.1234</v>
      </c>
      <c r="Y66" s="38"/>
      <c r="Z66" s="38"/>
      <c r="AA66" s="38"/>
      <c r="AB66" s="38"/>
      <c r="AC66" s="38"/>
      <c r="AD66" s="38"/>
      <c r="AE66" s="38"/>
      <c r="AF66" s="38"/>
      <c r="AG66" s="38"/>
      <c r="AH66" s="38"/>
      <c r="AI66" s="38"/>
      <c r="AJ66" s="38"/>
      <c r="AK66" s="44">
        <f t="shared" si="21"/>
        <v>0</v>
      </c>
      <c r="AL66" s="52"/>
    </row>
    <row r="67" spans="1:38" ht="18.75">
      <c r="A67" s="14"/>
      <c r="B67" s="14"/>
      <c r="C67" s="13"/>
      <c r="D67" s="14"/>
      <c r="E67" s="14"/>
      <c r="F67" s="14"/>
      <c r="G67" s="13"/>
      <c r="H67" s="15"/>
      <c r="I67" s="14"/>
      <c r="J67" s="14"/>
      <c r="K67" s="14" t="s">
        <v>204</v>
      </c>
      <c r="L67" s="14">
        <f t="shared" si="17"/>
        <v>35</v>
      </c>
      <c r="M67" s="14">
        <f t="shared" si="23"/>
        <v>0</v>
      </c>
      <c r="N67" s="14"/>
      <c r="O67" s="14"/>
      <c r="P67" s="14"/>
      <c r="Q67" s="14"/>
      <c r="R67" s="14"/>
      <c r="S67" s="14"/>
      <c r="T67" s="14">
        <v>35</v>
      </c>
      <c r="U67" s="39"/>
      <c r="V67" s="39"/>
      <c r="W67" s="39"/>
      <c r="X67" s="38"/>
      <c r="Y67" s="38"/>
      <c r="Z67" s="38"/>
      <c r="AA67" s="38"/>
      <c r="AB67" s="38"/>
      <c r="AC67" s="38"/>
      <c r="AD67" s="38"/>
      <c r="AE67" s="38"/>
      <c r="AF67" s="38"/>
      <c r="AG67" s="38"/>
      <c r="AH67" s="38"/>
      <c r="AI67" s="38"/>
      <c r="AJ67" s="38"/>
      <c r="AK67" s="44">
        <f t="shared" si="21"/>
        <v>0</v>
      </c>
      <c r="AL67" s="52"/>
    </row>
    <row r="68" spans="1:38" ht="18.75">
      <c r="A68" s="14"/>
      <c r="B68" s="14"/>
      <c r="C68" s="13"/>
      <c r="D68" s="14"/>
      <c r="E68" s="14"/>
      <c r="F68" s="14"/>
      <c r="G68" s="13"/>
      <c r="H68" s="15"/>
      <c r="I68" s="14"/>
      <c r="J68" s="14"/>
      <c r="K68" s="14" t="s">
        <v>131</v>
      </c>
      <c r="L68" s="14">
        <f t="shared" si="17"/>
        <v>35</v>
      </c>
      <c r="M68" s="14">
        <f t="shared" si="23"/>
        <v>0</v>
      </c>
      <c r="N68" s="14"/>
      <c r="O68" s="14"/>
      <c r="P68" s="14"/>
      <c r="Q68" s="14"/>
      <c r="R68" s="14"/>
      <c r="S68" s="14"/>
      <c r="T68" s="14">
        <v>35</v>
      </c>
      <c r="U68" s="39"/>
      <c r="V68" s="39"/>
      <c r="W68" s="39"/>
      <c r="X68" s="38">
        <v>10.137783</v>
      </c>
      <c r="Y68" s="38"/>
      <c r="Z68" s="38"/>
      <c r="AA68" s="38"/>
      <c r="AB68" s="38">
        <f>0.021+0.464</f>
        <v>0.48500000000000004</v>
      </c>
      <c r="AC68" s="38"/>
      <c r="AD68" s="38"/>
      <c r="AE68" s="38"/>
      <c r="AF68" s="38"/>
      <c r="AG68" s="38"/>
      <c r="AH68" s="38"/>
      <c r="AI68" s="38"/>
      <c r="AJ68" s="38"/>
      <c r="AK68" s="44">
        <f t="shared" si="21"/>
        <v>0.48500000000000004</v>
      </c>
      <c r="AL68" s="52"/>
    </row>
    <row r="69" spans="1:38" ht="37.5">
      <c r="A69" s="14"/>
      <c r="B69" s="14"/>
      <c r="C69" s="13"/>
      <c r="D69" s="14"/>
      <c r="E69" s="14"/>
      <c r="F69" s="14"/>
      <c r="G69" s="13"/>
      <c r="H69" s="15"/>
      <c r="I69" s="14"/>
      <c r="J69" s="14"/>
      <c r="K69" s="14" t="s">
        <v>105</v>
      </c>
      <c r="L69" s="14">
        <f t="shared" si="17"/>
        <v>35</v>
      </c>
      <c r="M69" s="14">
        <f t="shared" si="23"/>
        <v>0</v>
      </c>
      <c r="N69" s="14"/>
      <c r="O69" s="14"/>
      <c r="P69" s="14"/>
      <c r="Q69" s="14"/>
      <c r="R69" s="14"/>
      <c r="S69" s="14"/>
      <c r="T69" s="14">
        <v>35</v>
      </c>
      <c r="U69" s="39"/>
      <c r="V69" s="39"/>
      <c r="W69" s="39"/>
      <c r="X69" s="38">
        <v>9.4355</v>
      </c>
      <c r="Y69" s="38"/>
      <c r="Z69" s="38"/>
      <c r="AA69" s="38"/>
      <c r="AB69" s="38"/>
      <c r="AC69" s="38">
        <v>9.38251</v>
      </c>
      <c r="AD69" s="38"/>
      <c r="AE69" s="38"/>
      <c r="AF69" s="38"/>
      <c r="AG69" s="38"/>
      <c r="AH69" s="38"/>
      <c r="AI69" s="38"/>
      <c r="AJ69" s="38"/>
      <c r="AK69" s="44">
        <f t="shared" si="21"/>
        <v>9.38251</v>
      </c>
      <c r="AL69" s="52"/>
    </row>
    <row r="70" spans="1:38" ht="75" customHeight="1">
      <c r="A70" s="14">
        <v>32</v>
      </c>
      <c r="B70" s="14" t="s">
        <v>217</v>
      </c>
      <c r="C70" s="13" t="s">
        <v>218</v>
      </c>
      <c r="D70" s="14" t="s">
        <v>178</v>
      </c>
      <c r="E70" s="14" t="s">
        <v>219</v>
      </c>
      <c r="F70" s="14" t="s">
        <v>48</v>
      </c>
      <c r="G70" s="13" t="s">
        <v>220</v>
      </c>
      <c r="H70" s="15" t="s">
        <v>221</v>
      </c>
      <c r="I70" s="14" t="s">
        <v>125</v>
      </c>
      <c r="J70" s="14">
        <v>585.09</v>
      </c>
      <c r="K70" s="14" t="s">
        <v>222</v>
      </c>
      <c r="L70" s="14">
        <f t="shared" si="17"/>
        <v>1670</v>
      </c>
      <c r="M70" s="14">
        <f t="shared" si="23"/>
        <v>1670</v>
      </c>
      <c r="N70" s="14">
        <f>1600+70</f>
        <v>1670</v>
      </c>
      <c r="O70" s="14"/>
      <c r="P70" s="14"/>
      <c r="Q70" s="14"/>
      <c r="R70" s="14"/>
      <c r="S70" s="14"/>
      <c r="T70" s="14"/>
      <c r="U70" s="39"/>
      <c r="V70" s="39"/>
      <c r="W70" s="39"/>
      <c r="X70" s="38">
        <v>897.3</v>
      </c>
      <c r="Y70" s="38"/>
      <c r="Z70" s="38"/>
      <c r="AA70" s="38"/>
      <c r="AB70" s="38">
        <v>159.285711</v>
      </c>
      <c r="AC70" s="38">
        <f>0.544+0.816+892.17724</f>
        <v>893.53724</v>
      </c>
      <c r="AD70" s="38"/>
      <c r="AE70" s="38"/>
      <c r="AF70" s="38"/>
      <c r="AG70" s="38"/>
      <c r="AH70" s="38"/>
      <c r="AI70" s="38"/>
      <c r="AJ70" s="38"/>
      <c r="AK70" s="44">
        <f t="shared" si="21"/>
        <v>1052.822951</v>
      </c>
      <c r="AL70" s="52">
        <f aca="true" t="shared" si="24" ref="AL70:AL75">AK70/L70</f>
        <v>0.6304329047904192</v>
      </c>
    </row>
    <row r="71" spans="1:38" ht="75" customHeight="1">
      <c r="A71" s="14">
        <v>33</v>
      </c>
      <c r="B71" s="14" t="s">
        <v>223</v>
      </c>
      <c r="C71" s="13" t="s">
        <v>224</v>
      </c>
      <c r="D71" s="14" t="s">
        <v>178</v>
      </c>
      <c r="E71" s="14" t="s">
        <v>219</v>
      </c>
      <c r="F71" s="14" t="s">
        <v>48</v>
      </c>
      <c r="G71" s="13" t="s">
        <v>225</v>
      </c>
      <c r="H71" s="15" t="s">
        <v>226</v>
      </c>
      <c r="I71" s="14" t="s">
        <v>125</v>
      </c>
      <c r="J71" s="14">
        <v>555.54</v>
      </c>
      <c r="K71" s="14" t="s">
        <v>222</v>
      </c>
      <c r="L71" s="14">
        <f t="shared" si="17"/>
        <v>2464</v>
      </c>
      <c r="M71" s="14">
        <f t="shared" si="23"/>
        <v>1264</v>
      </c>
      <c r="N71" s="14">
        <v>1264</v>
      </c>
      <c r="O71" s="14"/>
      <c r="P71" s="14"/>
      <c r="Q71" s="14"/>
      <c r="R71" s="14"/>
      <c r="S71" s="14"/>
      <c r="T71" s="14">
        <v>1200</v>
      </c>
      <c r="U71" s="39"/>
      <c r="V71" s="39"/>
      <c r="W71" s="39"/>
      <c r="X71" s="38"/>
      <c r="Y71" s="38"/>
      <c r="Z71" s="38"/>
      <c r="AA71" s="38"/>
      <c r="AB71" s="38">
        <v>1157.605413</v>
      </c>
      <c r="AC71" s="38">
        <f>1.26+0.84</f>
        <v>2.1</v>
      </c>
      <c r="AD71" s="38"/>
      <c r="AE71" s="38"/>
      <c r="AF71" s="38"/>
      <c r="AG71" s="38"/>
      <c r="AH71" s="38"/>
      <c r="AI71" s="38"/>
      <c r="AJ71" s="38"/>
      <c r="AK71" s="44">
        <f t="shared" si="21"/>
        <v>1159.705413</v>
      </c>
      <c r="AL71" s="52">
        <f t="shared" si="24"/>
        <v>0.47065966436688306</v>
      </c>
    </row>
    <row r="72" spans="1:38" ht="75" customHeight="1">
      <c r="A72" s="14">
        <v>34</v>
      </c>
      <c r="B72" s="14" t="s">
        <v>227</v>
      </c>
      <c r="C72" s="13" t="s">
        <v>228</v>
      </c>
      <c r="D72" s="14" t="s">
        <v>178</v>
      </c>
      <c r="E72" s="14" t="s">
        <v>219</v>
      </c>
      <c r="F72" s="14" t="s">
        <v>48</v>
      </c>
      <c r="G72" s="13" t="s">
        <v>229</v>
      </c>
      <c r="H72" s="15" t="s">
        <v>230</v>
      </c>
      <c r="I72" s="14" t="s">
        <v>125</v>
      </c>
      <c r="J72" s="14">
        <v>501.46</v>
      </c>
      <c r="K72" s="14" t="s">
        <v>222</v>
      </c>
      <c r="L72" s="14">
        <f t="shared" si="17"/>
        <v>2165</v>
      </c>
      <c r="M72" s="14">
        <f t="shared" si="23"/>
        <v>2165</v>
      </c>
      <c r="N72" s="14">
        <v>2165</v>
      </c>
      <c r="O72" s="14"/>
      <c r="P72" s="14"/>
      <c r="Q72" s="14"/>
      <c r="R72" s="14"/>
      <c r="S72" s="14"/>
      <c r="T72" s="14"/>
      <c r="U72" s="39"/>
      <c r="V72" s="39"/>
      <c r="W72" s="39"/>
      <c r="X72" s="38"/>
      <c r="Y72" s="38"/>
      <c r="Z72" s="38"/>
      <c r="AA72" s="38"/>
      <c r="AB72" s="38">
        <v>971.913709</v>
      </c>
      <c r="AC72" s="38">
        <f>1.104+0.736</f>
        <v>1.84</v>
      </c>
      <c r="AD72" s="38"/>
      <c r="AE72" s="38"/>
      <c r="AF72" s="38"/>
      <c r="AG72" s="38"/>
      <c r="AH72" s="38"/>
      <c r="AI72" s="38"/>
      <c r="AJ72" s="38"/>
      <c r="AK72" s="44">
        <f t="shared" si="21"/>
        <v>973.7537090000001</v>
      </c>
      <c r="AL72" s="52">
        <f t="shared" si="24"/>
        <v>0.4497707662817552</v>
      </c>
    </row>
    <row r="73" spans="1:38" ht="75" customHeight="1">
      <c r="A73" s="12" t="s">
        <v>231</v>
      </c>
      <c r="B73" s="8" t="s">
        <v>232</v>
      </c>
      <c r="C73" s="9"/>
      <c r="D73" s="10"/>
      <c r="E73" s="10"/>
      <c r="F73" s="10"/>
      <c r="G73" s="11"/>
      <c r="H73" s="54"/>
      <c r="I73" s="58"/>
      <c r="J73" s="58"/>
      <c r="K73" s="26"/>
      <c r="L73" s="26">
        <f aca="true" t="shared" si="25" ref="L73:AK73">SUM(L74:L75)</f>
        <v>2137.3</v>
      </c>
      <c r="M73" s="26">
        <f t="shared" si="25"/>
        <v>2137.3</v>
      </c>
      <c r="N73" s="26">
        <f t="shared" si="25"/>
        <v>2137.3</v>
      </c>
      <c r="O73" s="26">
        <f t="shared" si="25"/>
        <v>0</v>
      </c>
      <c r="P73" s="26">
        <f t="shared" si="25"/>
        <v>0</v>
      </c>
      <c r="Q73" s="26">
        <f t="shared" si="25"/>
        <v>0</v>
      </c>
      <c r="R73" s="26">
        <f t="shared" si="25"/>
        <v>0</v>
      </c>
      <c r="S73" s="26">
        <f t="shared" si="25"/>
        <v>0</v>
      </c>
      <c r="T73" s="26">
        <f t="shared" si="25"/>
        <v>0</v>
      </c>
      <c r="U73" s="35">
        <f t="shared" si="25"/>
        <v>0</v>
      </c>
      <c r="V73" s="35">
        <f t="shared" si="25"/>
        <v>0</v>
      </c>
      <c r="W73" s="35">
        <f t="shared" si="25"/>
        <v>0</v>
      </c>
      <c r="X73" s="36">
        <f t="shared" si="25"/>
        <v>183.234</v>
      </c>
      <c r="Y73" s="36">
        <f t="shared" si="25"/>
        <v>0</v>
      </c>
      <c r="Z73" s="36">
        <f t="shared" si="25"/>
        <v>366.468</v>
      </c>
      <c r="AA73" s="36">
        <f t="shared" si="25"/>
        <v>183.234</v>
      </c>
      <c r="AB73" s="36">
        <f t="shared" si="25"/>
        <v>183.234</v>
      </c>
      <c r="AC73" s="36">
        <f t="shared" si="25"/>
        <v>183.234</v>
      </c>
      <c r="AD73" s="36">
        <f t="shared" si="25"/>
        <v>0</v>
      </c>
      <c r="AE73" s="36">
        <f t="shared" si="25"/>
        <v>0</v>
      </c>
      <c r="AF73" s="36">
        <f t="shared" si="25"/>
        <v>0</v>
      </c>
      <c r="AG73" s="36">
        <f t="shared" si="25"/>
        <v>0</v>
      </c>
      <c r="AH73" s="36">
        <f t="shared" si="25"/>
        <v>0</v>
      </c>
      <c r="AI73" s="36">
        <f t="shared" si="25"/>
        <v>0</v>
      </c>
      <c r="AJ73" s="36">
        <f t="shared" si="25"/>
        <v>0</v>
      </c>
      <c r="AK73" s="36">
        <f t="shared" si="25"/>
        <v>916.1700000000001</v>
      </c>
      <c r="AL73" s="51">
        <f t="shared" si="24"/>
        <v>0.4286576521779816</v>
      </c>
    </row>
    <row r="74" spans="1:38" ht="75" customHeight="1">
      <c r="A74" s="14">
        <v>35</v>
      </c>
      <c r="B74" s="14" t="s">
        <v>233</v>
      </c>
      <c r="C74" s="13" t="s">
        <v>234</v>
      </c>
      <c r="D74" s="14" t="s">
        <v>232</v>
      </c>
      <c r="E74" s="14" t="s">
        <v>235</v>
      </c>
      <c r="F74" s="14" t="s">
        <v>48</v>
      </c>
      <c r="G74" s="13" t="s">
        <v>90</v>
      </c>
      <c r="H74" s="15" t="s">
        <v>236</v>
      </c>
      <c r="I74" s="14" t="s">
        <v>237</v>
      </c>
      <c r="J74" s="14">
        <v>1254</v>
      </c>
      <c r="K74" s="14" t="s">
        <v>184</v>
      </c>
      <c r="L74" s="14">
        <f aca="true" t="shared" si="26" ref="L74:L88">M74+T74+U74+V74+W74</f>
        <v>1504.8</v>
      </c>
      <c r="M74" s="14">
        <f aca="true" t="shared" si="27" ref="M74:M88">N74+O74+P74+Q74+R74+S74</f>
        <v>1504.8</v>
      </c>
      <c r="N74" s="14">
        <v>1504.8</v>
      </c>
      <c r="O74" s="14"/>
      <c r="P74" s="14"/>
      <c r="Q74" s="14"/>
      <c r="R74" s="14"/>
      <c r="S74" s="14"/>
      <c r="T74" s="14"/>
      <c r="U74" s="39"/>
      <c r="V74" s="39"/>
      <c r="W74" s="39"/>
      <c r="X74" s="38">
        <v>125.4</v>
      </c>
      <c r="Y74" s="38"/>
      <c r="Z74" s="38">
        <v>250.8</v>
      </c>
      <c r="AA74" s="38">
        <v>125.4</v>
      </c>
      <c r="AB74" s="38">
        <v>125.4</v>
      </c>
      <c r="AC74" s="38">
        <v>125.4</v>
      </c>
      <c r="AD74" s="38"/>
      <c r="AE74" s="38"/>
      <c r="AF74" s="38"/>
      <c r="AG74" s="38"/>
      <c r="AH74" s="38"/>
      <c r="AI74" s="38"/>
      <c r="AJ74" s="38"/>
      <c r="AK74" s="44">
        <f aca="true" t="shared" si="28" ref="AK74:AK88">SUM(Y74:AJ74)</f>
        <v>627</v>
      </c>
      <c r="AL74" s="52">
        <f t="shared" si="24"/>
        <v>0.4166666666666667</v>
      </c>
    </row>
    <row r="75" spans="1:38" ht="75" customHeight="1">
      <c r="A75" s="16">
        <v>36</v>
      </c>
      <c r="B75" s="16" t="s">
        <v>238</v>
      </c>
      <c r="C75" s="17" t="s">
        <v>239</v>
      </c>
      <c r="D75" s="16" t="s">
        <v>232</v>
      </c>
      <c r="E75" s="16" t="s">
        <v>235</v>
      </c>
      <c r="F75" s="16" t="s">
        <v>48</v>
      </c>
      <c r="G75" s="17" t="s">
        <v>90</v>
      </c>
      <c r="H75" s="18" t="s">
        <v>240</v>
      </c>
      <c r="I75" s="16" t="s">
        <v>237</v>
      </c>
      <c r="J75" s="16">
        <v>400</v>
      </c>
      <c r="K75" s="16" t="s">
        <v>102</v>
      </c>
      <c r="L75" s="16">
        <f t="shared" si="26"/>
        <v>632.5</v>
      </c>
      <c r="M75" s="16">
        <f aca="true" t="shared" si="29" ref="M75:AJ75">SUM(M76:M88)</f>
        <v>632.5</v>
      </c>
      <c r="N75" s="16">
        <f t="shared" si="29"/>
        <v>632.5</v>
      </c>
      <c r="O75" s="16">
        <f t="shared" si="29"/>
        <v>0</v>
      </c>
      <c r="P75" s="16">
        <f t="shared" si="29"/>
        <v>0</v>
      </c>
      <c r="Q75" s="16">
        <f t="shared" si="29"/>
        <v>0</v>
      </c>
      <c r="R75" s="16">
        <f t="shared" si="29"/>
        <v>0</v>
      </c>
      <c r="S75" s="16">
        <f t="shared" si="29"/>
        <v>0</v>
      </c>
      <c r="T75" s="16">
        <f t="shared" si="29"/>
        <v>0</v>
      </c>
      <c r="U75" s="39">
        <f t="shared" si="29"/>
        <v>0</v>
      </c>
      <c r="V75" s="39">
        <f t="shared" si="29"/>
        <v>0</v>
      </c>
      <c r="W75" s="39">
        <f t="shared" si="29"/>
        <v>0</v>
      </c>
      <c r="X75" s="38">
        <f t="shared" si="29"/>
        <v>57.834</v>
      </c>
      <c r="Y75" s="38">
        <f t="shared" si="29"/>
        <v>0</v>
      </c>
      <c r="Z75" s="38">
        <f t="shared" si="29"/>
        <v>115.668</v>
      </c>
      <c r="AA75" s="38">
        <f t="shared" si="29"/>
        <v>57.834</v>
      </c>
      <c r="AB75" s="38">
        <f t="shared" si="29"/>
        <v>57.834</v>
      </c>
      <c r="AC75" s="38">
        <f t="shared" si="29"/>
        <v>57.834</v>
      </c>
      <c r="AD75" s="38">
        <f t="shared" si="29"/>
        <v>0</v>
      </c>
      <c r="AE75" s="38">
        <f t="shared" si="29"/>
        <v>0</v>
      </c>
      <c r="AF75" s="38">
        <f t="shared" si="29"/>
        <v>0</v>
      </c>
      <c r="AG75" s="38">
        <f t="shared" si="29"/>
        <v>0</v>
      </c>
      <c r="AH75" s="38">
        <f t="shared" si="29"/>
        <v>0</v>
      </c>
      <c r="AI75" s="38">
        <f t="shared" si="29"/>
        <v>0</v>
      </c>
      <c r="AJ75" s="38">
        <f t="shared" si="29"/>
        <v>0</v>
      </c>
      <c r="AK75" s="44">
        <f t="shared" si="28"/>
        <v>289.17</v>
      </c>
      <c r="AL75" s="53">
        <f t="shared" si="24"/>
        <v>0.45718577075098815</v>
      </c>
    </row>
    <row r="76" spans="1:38" ht="18.75">
      <c r="A76" s="14"/>
      <c r="B76" s="14"/>
      <c r="C76" s="13"/>
      <c r="D76" s="14"/>
      <c r="E76" s="14"/>
      <c r="F76" s="14"/>
      <c r="G76" s="13"/>
      <c r="H76" s="15"/>
      <c r="I76" s="14"/>
      <c r="J76" s="14"/>
      <c r="K76" s="14" t="s">
        <v>103</v>
      </c>
      <c r="L76" s="14">
        <f t="shared" si="26"/>
        <v>44</v>
      </c>
      <c r="M76" s="14">
        <f t="shared" si="27"/>
        <v>44</v>
      </c>
      <c r="N76" s="14">
        <v>44</v>
      </c>
      <c r="O76" s="14"/>
      <c r="P76" s="14"/>
      <c r="Q76" s="14"/>
      <c r="R76" s="14"/>
      <c r="S76" s="14"/>
      <c r="T76" s="14"/>
      <c r="U76" s="39"/>
      <c r="V76" s="39"/>
      <c r="W76" s="39"/>
      <c r="X76" s="38">
        <v>4.05</v>
      </c>
      <c r="Y76" s="38"/>
      <c r="Z76" s="38">
        <f aca="true" t="shared" si="30" ref="Z76:Z88">AA76*2</f>
        <v>8.1</v>
      </c>
      <c r="AA76" s="38">
        <v>4.05</v>
      </c>
      <c r="AB76" s="38">
        <v>4.05</v>
      </c>
      <c r="AC76" s="38">
        <v>4.05</v>
      </c>
      <c r="AD76" s="38"/>
      <c r="AE76" s="38"/>
      <c r="AF76" s="38"/>
      <c r="AG76" s="38"/>
      <c r="AH76" s="38"/>
      <c r="AI76" s="38"/>
      <c r="AJ76" s="38"/>
      <c r="AK76" s="44">
        <f t="shared" si="28"/>
        <v>20.25</v>
      </c>
      <c r="AL76" s="52"/>
    </row>
    <row r="77" spans="1:38" ht="18.75">
      <c r="A77" s="14"/>
      <c r="B77" s="14"/>
      <c r="C77" s="13"/>
      <c r="D77" s="14"/>
      <c r="E77" s="14"/>
      <c r="F77" s="14"/>
      <c r="G77" s="13"/>
      <c r="H77" s="15"/>
      <c r="I77" s="14"/>
      <c r="J77" s="14"/>
      <c r="K77" s="14" t="s">
        <v>104</v>
      </c>
      <c r="L77" s="14">
        <f t="shared" si="26"/>
        <v>60</v>
      </c>
      <c r="M77" s="14">
        <f t="shared" si="27"/>
        <v>60</v>
      </c>
      <c r="N77" s="14">
        <v>60</v>
      </c>
      <c r="O77" s="14"/>
      <c r="P77" s="14"/>
      <c r="Q77" s="14"/>
      <c r="R77" s="14"/>
      <c r="S77" s="14"/>
      <c r="T77" s="14"/>
      <c r="U77" s="39"/>
      <c r="V77" s="39"/>
      <c r="W77" s="39"/>
      <c r="X77" s="38">
        <v>5.508</v>
      </c>
      <c r="Y77" s="38"/>
      <c r="Z77" s="38">
        <f t="shared" si="30"/>
        <v>11.016</v>
      </c>
      <c r="AA77" s="38">
        <v>5.508</v>
      </c>
      <c r="AB77" s="38">
        <v>5.508</v>
      </c>
      <c r="AC77" s="38">
        <v>5.508</v>
      </c>
      <c r="AD77" s="38"/>
      <c r="AE77" s="38"/>
      <c r="AF77" s="38"/>
      <c r="AG77" s="38"/>
      <c r="AH77" s="38"/>
      <c r="AI77" s="38"/>
      <c r="AJ77" s="38"/>
      <c r="AK77" s="44">
        <f t="shared" si="28"/>
        <v>27.54</v>
      </c>
      <c r="AL77" s="52"/>
    </row>
    <row r="78" spans="1:38" ht="18.75">
      <c r="A78" s="14"/>
      <c r="B78" s="14"/>
      <c r="C78" s="13"/>
      <c r="D78" s="14"/>
      <c r="E78" s="14"/>
      <c r="F78" s="14"/>
      <c r="G78" s="13"/>
      <c r="H78" s="15"/>
      <c r="I78" s="14"/>
      <c r="J78" s="14"/>
      <c r="K78" s="14" t="s">
        <v>127</v>
      </c>
      <c r="L78" s="14">
        <f t="shared" si="26"/>
        <v>74</v>
      </c>
      <c r="M78" s="14">
        <f t="shared" si="27"/>
        <v>74</v>
      </c>
      <c r="N78" s="14">
        <v>74</v>
      </c>
      <c r="O78" s="14"/>
      <c r="P78" s="14"/>
      <c r="Q78" s="14"/>
      <c r="R78" s="14"/>
      <c r="S78" s="14"/>
      <c r="T78" s="14"/>
      <c r="U78" s="39"/>
      <c r="V78" s="39"/>
      <c r="W78" s="39"/>
      <c r="X78" s="38">
        <v>6.804</v>
      </c>
      <c r="Y78" s="38"/>
      <c r="Z78" s="38">
        <f t="shared" si="30"/>
        <v>13.608</v>
      </c>
      <c r="AA78" s="38">
        <v>6.804</v>
      </c>
      <c r="AB78" s="38">
        <v>6.804</v>
      </c>
      <c r="AC78" s="38">
        <v>6.804</v>
      </c>
      <c r="AD78" s="38"/>
      <c r="AE78" s="38"/>
      <c r="AF78" s="38"/>
      <c r="AG78" s="38"/>
      <c r="AH78" s="38"/>
      <c r="AI78" s="38"/>
      <c r="AJ78" s="38"/>
      <c r="AK78" s="44">
        <f t="shared" si="28"/>
        <v>34.02</v>
      </c>
      <c r="AL78" s="52"/>
    </row>
    <row r="79" spans="1:38" ht="18.75">
      <c r="A79" s="14"/>
      <c r="B79" s="14"/>
      <c r="C79" s="13"/>
      <c r="D79" s="14"/>
      <c r="E79" s="14"/>
      <c r="F79" s="14"/>
      <c r="G79" s="13"/>
      <c r="H79" s="15"/>
      <c r="I79" s="14"/>
      <c r="J79" s="14"/>
      <c r="K79" s="14" t="s">
        <v>128</v>
      </c>
      <c r="L79" s="14">
        <f t="shared" si="26"/>
        <v>72</v>
      </c>
      <c r="M79" s="14">
        <f t="shared" si="27"/>
        <v>72</v>
      </c>
      <c r="N79" s="14">
        <v>72</v>
      </c>
      <c r="O79" s="14"/>
      <c r="P79" s="14"/>
      <c r="Q79" s="14"/>
      <c r="R79" s="14"/>
      <c r="S79" s="14"/>
      <c r="T79" s="14"/>
      <c r="U79" s="39"/>
      <c r="V79" s="39"/>
      <c r="W79" s="39"/>
      <c r="X79" s="38">
        <v>6.642</v>
      </c>
      <c r="Y79" s="38"/>
      <c r="Z79" s="38">
        <f t="shared" si="30"/>
        <v>13.284</v>
      </c>
      <c r="AA79" s="38">
        <v>6.642</v>
      </c>
      <c r="AB79" s="38">
        <v>6.642</v>
      </c>
      <c r="AC79" s="38">
        <v>6.642</v>
      </c>
      <c r="AD79" s="38"/>
      <c r="AE79" s="38"/>
      <c r="AF79" s="38"/>
      <c r="AG79" s="38"/>
      <c r="AH79" s="38"/>
      <c r="AI79" s="38"/>
      <c r="AJ79" s="38"/>
      <c r="AK79" s="44">
        <f t="shared" si="28"/>
        <v>33.21</v>
      </c>
      <c r="AL79" s="52"/>
    </row>
    <row r="80" spans="1:38" ht="18.75">
      <c r="A80" s="14"/>
      <c r="B80" s="14"/>
      <c r="C80" s="13"/>
      <c r="D80" s="14"/>
      <c r="E80" s="14"/>
      <c r="F80" s="14"/>
      <c r="G80" s="13"/>
      <c r="H80" s="15"/>
      <c r="I80" s="14"/>
      <c r="J80" s="14"/>
      <c r="K80" s="14" t="s">
        <v>129</v>
      </c>
      <c r="L80" s="14">
        <f t="shared" si="26"/>
        <v>46</v>
      </c>
      <c r="M80" s="14">
        <f t="shared" si="27"/>
        <v>46</v>
      </c>
      <c r="N80" s="14">
        <v>46</v>
      </c>
      <c r="O80" s="14"/>
      <c r="P80" s="14"/>
      <c r="Q80" s="14"/>
      <c r="R80" s="14"/>
      <c r="S80" s="14"/>
      <c r="T80" s="14"/>
      <c r="U80" s="39"/>
      <c r="V80" s="39"/>
      <c r="W80" s="39"/>
      <c r="X80" s="38">
        <v>4.212</v>
      </c>
      <c r="Y80" s="38"/>
      <c r="Z80" s="38">
        <f t="shared" si="30"/>
        <v>8.424</v>
      </c>
      <c r="AA80" s="38">
        <v>4.212</v>
      </c>
      <c r="AB80" s="38">
        <v>4.212</v>
      </c>
      <c r="AC80" s="38">
        <v>4.212</v>
      </c>
      <c r="AD80" s="38"/>
      <c r="AE80" s="38"/>
      <c r="AF80" s="38"/>
      <c r="AG80" s="38"/>
      <c r="AH80" s="38"/>
      <c r="AI80" s="38"/>
      <c r="AJ80" s="38"/>
      <c r="AK80" s="44">
        <f t="shared" si="28"/>
        <v>21.06</v>
      </c>
      <c r="AL80" s="52"/>
    </row>
    <row r="81" spans="1:38" ht="18.75">
      <c r="A81" s="14"/>
      <c r="B81" s="14"/>
      <c r="C81" s="13"/>
      <c r="D81" s="14"/>
      <c r="E81" s="14"/>
      <c r="F81" s="14"/>
      <c r="G81" s="13"/>
      <c r="H81" s="15"/>
      <c r="I81" s="14"/>
      <c r="J81" s="14"/>
      <c r="K81" s="14" t="s">
        <v>202</v>
      </c>
      <c r="L81" s="14">
        <f t="shared" si="26"/>
        <v>51</v>
      </c>
      <c r="M81" s="14">
        <f t="shared" si="27"/>
        <v>51</v>
      </c>
      <c r="N81" s="14">
        <v>51</v>
      </c>
      <c r="O81" s="14"/>
      <c r="P81" s="14"/>
      <c r="Q81" s="14"/>
      <c r="R81" s="14"/>
      <c r="S81" s="14"/>
      <c r="T81" s="14"/>
      <c r="U81" s="39"/>
      <c r="V81" s="39"/>
      <c r="W81" s="39"/>
      <c r="X81" s="38">
        <v>4.698</v>
      </c>
      <c r="Y81" s="38"/>
      <c r="Z81" s="38">
        <f t="shared" si="30"/>
        <v>9.396</v>
      </c>
      <c r="AA81" s="38">
        <v>4.698</v>
      </c>
      <c r="AB81" s="38">
        <v>4.698</v>
      </c>
      <c r="AC81" s="38">
        <v>4.698</v>
      </c>
      <c r="AD81" s="38"/>
      <c r="AE81" s="38"/>
      <c r="AF81" s="38"/>
      <c r="AG81" s="38"/>
      <c r="AH81" s="38"/>
      <c r="AI81" s="38"/>
      <c r="AJ81" s="38"/>
      <c r="AK81" s="44">
        <f t="shared" si="28"/>
        <v>23.490000000000002</v>
      </c>
      <c r="AL81" s="52"/>
    </row>
    <row r="82" spans="1:38" ht="18.75">
      <c r="A82" s="14"/>
      <c r="B82" s="14"/>
      <c r="C82" s="13"/>
      <c r="D82" s="14"/>
      <c r="E82" s="14"/>
      <c r="F82" s="14"/>
      <c r="G82" s="13"/>
      <c r="H82" s="15"/>
      <c r="I82" s="14"/>
      <c r="J82" s="14"/>
      <c r="K82" s="14" t="s">
        <v>130</v>
      </c>
      <c r="L82" s="14">
        <f t="shared" si="26"/>
        <v>77</v>
      </c>
      <c r="M82" s="14">
        <f t="shared" si="27"/>
        <v>77</v>
      </c>
      <c r="N82" s="14">
        <v>77</v>
      </c>
      <c r="O82" s="14"/>
      <c r="P82" s="14"/>
      <c r="Q82" s="14"/>
      <c r="R82" s="14"/>
      <c r="S82" s="14"/>
      <c r="T82" s="14"/>
      <c r="U82" s="39"/>
      <c r="V82" s="39"/>
      <c r="W82" s="39"/>
      <c r="X82" s="38">
        <v>7.128</v>
      </c>
      <c r="Y82" s="38"/>
      <c r="Z82" s="38">
        <f t="shared" si="30"/>
        <v>14.256</v>
      </c>
      <c r="AA82" s="38">
        <v>7.128</v>
      </c>
      <c r="AB82" s="38">
        <v>7.128</v>
      </c>
      <c r="AC82" s="38">
        <v>7.128</v>
      </c>
      <c r="AD82" s="38"/>
      <c r="AE82" s="38"/>
      <c r="AF82" s="38"/>
      <c r="AG82" s="38"/>
      <c r="AH82" s="38"/>
      <c r="AI82" s="38"/>
      <c r="AJ82" s="38"/>
      <c r="AK82" s="44">
        <f t="shared" si="28"/>
        <v>35.64</v>
      </c>
      <c r="AL82" s="52"/>
    </row>
    <row r="83" spans="1:38" ht="18.75">
      <c r="A83" s="14"/>
      <c r="B83" s="14"/>
      <c r="C83" s="13"/>
      <c r="D83" s="14"/>
      <c r="E83" s="14"/>
      <c r="F83" s="14"/>
      <c r="G83" s="13"/>
      <c r="H83" s="15"/>
      <c r="I83" s="14"/>
      <c r="J83" s="14"/>
      <c r="K83" s="14" t="s">
        <v>203</v>
      </c>
      <c r="L83" s="14">
        <f t="shared" si="26"/>
        <v>84</v>
      </c>
      <c r="M83" s="14">
        <f t="shared" si="27"/>
        <v>84</v>
      </c>
      <c r="N83" s="14">
        <v>84</v>
      </c>
      <c r="O83" s="14"/>
      <c r="P83" s="14"/>
      <c r="Q83" s="14"/>
      <c r="R83" s="14"/>
      <c r="S83" s="14"/>
      <c r="T83" s="14"/>
      <c r="U83" s="39"/>
      <c r="V83" s="39"/>
      <c r="W83" s="39"/>
      <c r="X83" s="38">
        <v>7.776</v>
      </c>
      <c r="Y83" s="38"/>
      <c r="Z83" s="38">
        <f t="shared" si="30"/>
        <v>15.552</v>
      </c>
      <c r="AA83" s="38">
        <v>7.776</v>
      </c>
      <c r="AB83" s="38">
        <v>7.776</v>
      </c>
      <c r="AC83" s="38">
        <v>7.776</v>
      </c>
      <c r="AD83" s="38"/>
      <c r="AE83" s="38"/>
      <c r="AF83" s="38"/>
      <c r="AG83" s="38"/>
      <c r="AH83" s="38"/>
      <c r="AI83" s="38"/>
      <c r="AJ83" s="38"/>
      <c r="AK83" s="44">
        <f t="shared" si="28"/>
        <v>38.879999999999995</v>
      </c>
      <c r="AL83" s="52"/>
    </row>
    <row r="84" spans="1:38" ht="18.75">
      <c r="A84" s="14"/>
      <c r="B84" s="14"/>
      <c r="C84" s="13"/>
      <c r="D84" s="14"/>
      <c r="E84" s="14"/>
      <c r="F84" s="14"/>
      <c r="G84" s="13"/>
      <c r="H84" s="15"/>
      <c r="I84" s="14"/>
      <c r="J84" s="14"/>
      <c r="K84" s="14" t="s">
        <v>204</v>
      </c>
      <c r="L84" s="14">
        <f t="shared" si="26"/>
        <v>49.5</v>
      </c>
      <c r="M84" s="14">
        <f t="shared" si="27"/>
        <v>49.5</v>
      </c>
      <c r="N84" s="14">
        <v>49.5</v>
      </c>
      <c r="O84" s="14"/>
      <c r="P84" s="14"/>
      <c r="Q84" s="14"/>
      <c r="R84" s="14"/>
      <c r="S84" s="14"/>
      <c r="T84" s="14"/>
      <c r="U84" s="39"/>
      <c r="V84" s="39"/>
      <c r="W84" s="39"/>
      <c r="X84" s="38">
        <v>4.536</v>
      </c>
      <c r="Y84" s="38"/>
      <c r="Z84" s="38">
        <f t="shared" si="30"/>
        <v>9.072</v>
      </c>
      <c r="AA84" s="38">
        <v>4.536</v>
      </c>
      <c r="AB84" s="38">
        <v>4.536</v>
      </c>
      <c r="AC84" s="38">
        <v>4.536</v>
      </c>
      <c r="AD84" s="38"/>
      <c r="AE84" s="38"/>
      <c r="AF84" s="38"/>
      <c r="AG84" s="38"/>
      <c r="AH84" s="38"/>
      <c r="AI84" s="38"/>
      <c r="AJ84" s="38"/>
      <c r="AK84" s="44">
        <f t="shared" si="28"/>
        <v>22.68</v>
      </c>
      <c r="AL84" s="52"/>
    </row>
    <row r="85" spans="1:38" ht="18.75">
      <c r="A85" s="14"/>
      <c r="B85" s="14"/>
      <c r="C85" s="13"/>
      <c r="D85" s="14"/>
      <c r="E85" s="14"/>
      <c r="F85" s="14"/>
      <c r="G85" s="13"/>
      <c r="H85" s="15"/>
      <c r="I85" s="14"/>
      <c r="J85" s="14"/>
      <c r="K85" s="14" t="s">
        <v>131</v>
      </c>
      <c r="L85" s="14">
        <f t="shared" si="26"/>
        <v>25.272</v>
      </c>
      <c r="M85" s="14">
        <f t="shared" si="27"/>
        <v>25.272</v>
      </c>
      <c r="N85" s="14">
        <v>25.272</v>
      </c>
      <c r="O85" s="14"/>
      <c r="P85" s="14"/>
      <c r="Q85" s="14"/>
      <c r="R85" s="14"/>
      <c r="S85" s="14"/>
      <c r="T85" s="14"/>
      <c r="U85" s="39"/>
      <c r="V85" s="39"/>
      <c r="W85" s="39"/>
      <c r="X85" s="38">
        <v>2.106</v>
      </c>
      <c r="Y85" s="38"/>
      <c r="Z85" s="38">
        <f t="shared" si="30"/>
        <v>4.212</v>
      </c>
      <c r="AA85" s="38">
        <v>2.106</v>
      </c>
      <c r="AB85" s="38">
        <v>2.106</v>
      </c>
      <c r="AC85" s="38">
        <v>2.106</v>
      </c>
      <c r="AD85" s="38"/>
      <c r="AE85" s="38"/>
      <c r="AF85" s="38"/>
      <c r="AG85" s="38"/>
      <c r="AH85" s="38"/>
      <c r="AI85" s="38"/>
      <c r="AJ85" s="38"/>
      <c r="AK85" s="44">
        <f t="shared" si="28"/>
        <v>10.53</v>
      </c>
      <c r="AL85" s="52"/>
    </row>
    <row r="86" spans="1:38" ht="37.5">
      <c r="A86" s="14"/>
      <c r="B86" s="14"/>
      <c r="C86" s="13"/>
      <c r="D86" s="14"/>
      <c r="E86" s="14"/>
      <c r="F86" s="14"/>
      <c r="G86" s="13"/>
      <c r="H86" s="15"/>
      <c r="I86" s="14"/>
      <c r="J86" s="14"/>
      <c r="K86" s="14" t="s">
        <v>105</v>
      </c>
      <c r="L86" s="14">
        <f t="shared" si="26"/>
        <v>23.328</v>
      </c>
      <c r="M86" s="14">
        <f t="shared" si="27"/>
        <v>23.328</v>
      </c>
      <c r="N86" s="14">
        <v>23.328</v>
      </c>
      <c r="O86" s="14"/>
      <c r="P86" s="14"/>
      <c r="Q86" s="14"/>
      <c r="R86" s="14"/>
      <c r="S86" s="14"/>
      <c r="T86" s="14"/>
      <c r="U86" s="39"/>
      <c r="V86" s="39"/>
      <c r="W86" s="39"/>
      <c r="X86" s="38">
        <v>1.944</v>
      </c>
      <c r="Y86" s="38"/>
      <c r="Z86" s="38">
        <f t="shared" si="30"/>
        <v>3.888</v>
      </c>
      <c r="AA86" s="38">
        <v>1.944</v>
      </c>
      <c r="AB86" s="38">
        <v>1.944</v>
      </c>
      <c r="AC86" s="38">
        <v>1.944</v>
      </c>
      <c r="AD86" s="38"/>
      <c r="AE86" s="38"/>
      <c r="AF86" s="38"/>
      <c r="AG86" s="38"/>
      <c r="AH86" s="38"/>
      <c r="AI86" s="38"/>
      <c r="AJ86" s="38"/>
      <c r="AK86" s="44">
        <f t="shared" si="28"/>
        <v>9.719999999999999</v>
      </c>
      <c r="AL86" s="52"/>
    </row>
    <row r="87" spans="1:38" ht="18.75">
      <c r="A87" s="14"/>
      <c r="B87" s="14"/>
      <c r="C87" s="13"/>
      <c r="D87" s="14"/>
      <c r="E87" s="14"/>
      <c r="F87" s="14"/>
      <c r="G87" s="13"/>
      <c r="H87" s="15"/>
      <c r="I87" s="14"/>
      <c r="J87" s="14"/>
      <c r="K87" s="14" t="s">
        <v>205</v>
      </c>
      <c r="L87" s="14">
        <f t="shared" si="26"/>
        <v>24.456</v>
      </c>
      <c r="M87" s="14">
        <f t="shared" si="27"/>
        <v>24.456</v>
      </c>
      <c r="N87" s="14">
        <v>24.456</v>
      </c>
      <c r="O87" s="14"/>
      <c r="P87" s="14"/>
      <c r="Q87" s="14"/>
      <c r="R87" s="14"/>
      <c r="S87" s="14"/>
      <c r="T87" s="14"/>
      <c r="U87" s="39"/>
      <c r="V87" s="39"/>
      <c r="W87" s="39"/>
      <c r="X87" s="38">
        <v>2.268</v>
      </c>
      <c r="Y87" s="38"/>
      <c r="Z87" s="38">
        <f t="shared" si="30"/>
        <v>4.536</v>
      </c>
      <c r="AA87" s="38">
        <v>2.268</v>
      </c>
      <c r="AB87" s="38">
        <v>2.268</v>
      </c>
      <c r="AC87" s="38">
        <v>2.268</v>
      </c>
      <c r="AD87" s="38"/>
      <c r="AE87" s="38"/>
      <c r="AF87" s="38"/>
      <c r="AG87" s="38"/>
      <c r="AH87" s="38"/>
      <c r="AI87" s="38"/>
      <c r="AJ87" s="38"/>
      <c r="AK87" s="44">
        <f t="shared" si="28"/>
        <v>11.34</v>
      </c>
      <c r="AL87" s="52"/>
    </row>
    <row r="88" spans="1:38" ht="37.5">
      <c r="A88" s="14"/>
      <c r="B88" s="55"/>
      <c r="C88" s="56"/>
      <c r="D88" s="14"/>
      <c r="E88" s="14"/>
      <c r="F88" s="14"/>
      <c r="G88" s="13"/>
      <c r="H88" s="15"/>
      <c r="I88" s="14"/>
      <c r="J88" s="14"/>
      <c r="K88" s="14" t="s">
        <v>77</v>
      </c>
      <c r="L88" s="14">
        <f t="shared" si="26"/>
        <v>1.944</v>
      </c>
      <c r="M88" s="14">
        <f t="shared" si="27"/>
        <v>1.944</v>
      </c>
      <c r="N88" s="14">
        <v>1.944</v>
      </c>
      <c r="O88" s="14"/>
      <c r="P88" s="14"/>
      <c r="Q88" s="14"/>
      <c r="R88" s="14"/>
      <c r="S88" s="14"/>
      <c r="T88" s="14"/>
      <c r="U88" s="39"/>
      <c r="V88" s="39"/>
      <c r="W88" s="39"/>
      <c r="X88" s="38">
        <v>0.162</v>
      </c>
      <c r="Y88" s="38"/>
      <c r="Z88" s="38">
        <f t="shared" si="30"/>
        <v>0.324</v>
      </c>
      <c r="AA88" s="38">
        <v>0.162</v>
      </c>
      <c r="AB88" s="38">
        <v>0.162</v>
      </c>
      <c r="AC88" s="38">
        <v>0.162</v>
      </c>
      <c r="AD88" s="38"/>
      <c r="AE88" s="38"/>
      <c r="AF88" s="38"/>
      <c r="AG88" s="38"/>
      <c r="AH88" s="38"/>
      <c r="AI88" s="38"/>
      <c r="AJ88" s="38"/>
      <c r="AK88" s="44">
        <f t="shared" si="28"/>
        <v>0.81</v>
      </c>
      <c r="AL88" s="52"/>
    </row>
    <row r="89" spans="1:38" ht="20.25">
      <c r="A89" s="12" t="s">
        <v>241</v>
      </c>
      <c r="B89" s="8" t="s">
        <v>242</v>
      </c>
      <c r="C89" s="9"/>
      <c r="D89" s="10"/>
      <c r="E89" s="10"/>
      <c r="F89" s="10"/>
      <c r="G89" s="11"/>
      <c r="H89" s="20"/>
      <c r="I89" s="11"/>
      <c r="J89" s="11"/>
      <c r="K89" s="26"/>
      <c r="L89" s="26">
        <f aca="true" t="shared" si="31" ref="L89:N89">L90</f>
        <v>1670</v>
      </c>
      <c r="M89" s="26">
        <f t="shared" si="31"/>
        <v>1670</v>
      </c>
      <c r="N89" s="26">
        <f t="shared" si="31"/>
        <v>1670</v>
      </c>
      <c r="O89" s="59"/>
      <c r="P89" s="59"/>
      <c r="Q89" s="59"/>
      <c r="R89" s="59"/>
      <c r="S89" s="59"/>
      <c r="T89" s="59"/>
      <c r="U89" s="60"/>
      <c r="V89" s="60"/>
      <c r="W89" s="60"/>
      <c r="X89" s="36">
        <f aca="true" t="shared" si="32" ref="X89:AK89">X90</f>
        <v>0</v>
      </c>
      <c r="Y89" s="36">
        <f t="shared" si="32"/>
        <v>0</v>
      </c>
      <c r="Z89" s="36">
        <f t="shared" si="32"/>
        <v>0</v>
      </c>
      <c r="AA89" s="36">
        <f t="shared" si="32"/>
        <v>867</v>
      </c>
      <c r="AB89" s="36">
        <f t="shared" si="32"/>
        <v>798</v>
      </c>
      <c r="AC89" s="36">
        <f t="shared" si="32"/>
        <v>0</v>
      </c>
      <c r="AD89" s="36">
        <f t="shared" si="32"/>
        <v>0</v>
      </c>
      <c r="AE89" s="36">
        <f t="shared" si="32"/>
        <v>0</v>
      </c>
      <c r="AF89" s="36">
        <f t="shared" si="32"/>
        <v>0</v>
      </c>
      <c r="AG89" s="36">
        <f t="shared" si="32"/>
        <v>0</v>
      </c>
      <c r="AH89" s="36">
        <f t="shared" si="32"/>
        <v>0</v>
      </c>
      <c r="AI89" s="36">
        <f t="shared" si="32"/>
        <v>0</v>
      </c>
      <c r="AJ89" s="36">
        <f t="shared" si="32"/>
        <v>0</v>
      </c>
      <c r="AK89" s="36">
        <f t="shared" si="32"/>
        <v>1665</v>
      </c>
      <c r="AL89" s="51">
        <f aca="true" t="shared" si="33" ref="AL89:AL92">AK89/L89</f>
        <v>0.9970059880239521</v>
      </c>
    </row>
    <row r="90" spans="1:38" ht="93.75">
      <c r="A90" s="13">
        <v>37</v>
      </c>
      <c r="B90" s="13" t="s">
        <v>243</v>
      </c>
      <c r="C90" s="13" t="s">
        <v>244</v>
      </c>
      <c r="D90" s="13" t="s">
        <v>242</v>
      </c>
      <c r="E90" s="13" t="s">
        <v>245</v>
      </c>
      <c r="F90" s="13" t="s">
        <v>48</v>
      </c>
      <c r="G90" s="13" t="s">
        <v>90</v>
      </c>
      <c r="H90" s="15" t="s">
        <v>246</v>
      </c>
      <c r="I90" s="14" t="s">
        <v>237</v>
      </c>
      <c r="J90" s="14">
        <v>9000</v>
      </c>
      <c r="K90" s="13" t="s">
        <v>247</v>
      </c>
      <c r="L90" s="14">
        <f>M90+T90+U90+V90+W90</f>
        <v>1670</v>
      </c>
      <c r="M90" s="14">
        <f>N90+O90+P90+Q90+R90+S90</f>
        <v>1670</v>
      </c>
      <c r="N90" s="14">
        <f>1500+165+5</f>
        <v>1670</v>
      </c>
      <c r="O90" s="13"/>
      <c r="P90" s="13"/>
      <c r="Q90" s="13"/>
      <c r="R90" s="13"/>
      <c r="S90" s="13"/>
      <c r="T90" s="13"/>
      <c r="U90" s="37"/>
      <c r="V90" s="37"/>
      <c r="W90" s="37"/>
      <c r="X90" s="38">
        <v>0</v>
      </c>
      <c r="Y90" s="44"/>
      <c r="Z90" s="44"/>
      <c r="AA90" s="44">
        <v>867</v>
      </c>
      <c r="AB90" s="44">
        <v>798</v>
      </c>
      <c r="AC90" s="44"/>
      <c r="AD90" s="44"/>
      <c r="AE90" s="44"/>
      <c r="AF90" s="44"/>
      <c r="AG90" s="44"/>
      <c r="AH90" s="44"/>
      <c r="AI90" s="44"/>
      <c r="AJ90" s="44"/>
      <c r="AK90" s="44">
        <f>SUM(Y90:AJ90)</f>
        <v>1665</v>
      </c>
      <c r="AL90" s="52">
        <f t="shared" si="33"/>
        <v>0.9970059880239521</v>
      </c>
    </row>
    <row r="91" spans="1:38" ht="20.25">
      <c r="A91" s="12" t="s">
        <v>248</v>
      </c>
      <c r="B91" s="8" t="s">
        <v>249</v>
      </c>
      <c r="C91" s="9"/>
      <c r="D91" s="10"/>
      <c r="E91" s="10"/>
      <c r="F91" s="10"/>
      <c r="G91" s="11"/>
      <c r="H91" s="20"/>
      <c r="I91" s="12"/>
      <c r="J91" s="12"/>
      <c r="K91" s="26"/>
      <c r="L91" s="26">
        <f aca="true" t="shared" si="34" ref="L91:P91">L92</f>
        <v>61.894</v>
      </c>
      <c r="M91" s="26">
        <f t="shared" si="34"/>
        <v>61.894</v>
      </c>
      <c r="N91" s="26"/>
      <c r="O91" s="26"/>
      <c r="P91" s="26">
        <f t="shared" si="34"/>
        <v>61.894</v>
      </c>
      <c r="Q91" s="26"/>
      <c r="R91" s="26"/>
      <c r="S91" s="26"/>
      <c r="T91" s="26"/>
      <c r="U91" s="35"/>
      <c r="V91" s="35"/>
      <c r="W91" s="35"/>
      <c r="X91" s="36">
        <f aca="true" t="shared" si="35" ref="X91:AK91">X92</f>
        <v>17</v>
      </c>
      <c r="Y91" s="36">
        <f t="shared" si="35"/>
        <v>0</v>
      </c>
      <c r="Z91" s="36">
        <f t="shared" si="35"/>
        <v>0</v>
      </c>
      <c r="AA91" s="36">
        <f t="shared" si="35"/>
        <v>0</v>
      </c>
      <c r="AB91" s="36">
        <f t="shared" si="35"/>
        <v>0</v>
      </c>
      <c r="AC91" s="36">
        <f t="shared" si="35"/>
        <v>19.19973</v>
      </c>
      <c r="AD91" s="36">
        <f t="shared" si="35"/>
        <v>0</v>
      </c>
      <c r="AE91" s="36">
        <f t="shared" si="35"/>
        <v>0</v>
      </c>
      <c r="AF91" s="36">
        <f t="shared" si="35"/>
        <v>0</v>
      </c>
      <c r="AG91" s="36">
        <f t="shared" si="35"/>
        <v>0</v>
      </c>
      <c r="AH91" s="36">
        <f t="shared" si="35"/>
        <v>0</v>
      </c>
      <c r="AI91" s="36">
        <f t="shared" si="35"/>
        <v>0</v>
      </c>
      <c r="AJ91" s="36">
        <f t="shared" si="35"/>
        <v>0</v>
      </c>
      <c r="AK91" s="36">
        <f t="shared" si="35"/>
        <v>19.19973</v>
      </c>
      <c r="AL91" s="51">
        <f t="shared" si="33"/>
        <v>0.3102034122855204</v>
      </c>
    </row>
    <row r="92" spans="1:38" ht="75">
      <c r="A92" s="13">
        <v>38</v>
      </c>
      <c r="B92" s="13" t="s">
        <v>250</v>
      </c>
      <c r="C92" s="13" t="s">
        <v>251</v>
      </c>
      <c r="D92" s="13" t="s">
        <v>249</v>
      </c>
      <c r="E92" s="13" t="s">
        <v>252</v>
      </c>
      <c r="F92" s="13" t="s">
        <v>48</v>
      </c>
      <c r="G92" s="13" t="s">
        <v>90</v>
      </c>
      <c r="H92" s="15" t="s">
        <v>253</v>
      </c>
      <c r="I92" s="14" t="s">
        <v>101</v>
      </c>
      <c r="J92" s="14">
        <v>8842</v>
      </c>
      <c r="K92" s="13" t="s">
        <v>254</v>
      </c>
      <c r="L92" s="14">
        <f>M92+T92+U92+V92+W92</f>
        <v>61.894</v>
      </c>
      <c r="M92" s="14">
        <f>N92+O92+P92+Q92+R92+S92</f>
        <v>61.894</v>
      </c>
      <c r="N92" s="13"/>
      <c r="O92" s="13"/>
      <c r="P92" s="13">
        <v>61.894</v>
      </c>
      <c r="Q92" s="13"/>
      <c r="R92" s="13"/>
      <c r="S92" s="13"/>
      <c r="T92" s="13"/>
      <c r="U92" s="37"/>
      <c r="V92" s="37"/>
      <c r="W92" s="37"/>
      <c r="X92" s="38">
        <v>17</v>
      </c>
      <c r="Y92" s="44"/>
      <c r="Z92" s="44"/>
      <c r="AA92" s="44"/>
      <c r="AB92" s="44"/>
      <c r="AC92" s="44">
        <v>19.19973</v>
      </c>
      <c r="AD92" s="44"/>
      <c r="AE92" s="44"/>
      <c r="AF92" s="44"/>
      <c r="AG92" s="44"/>
      <c r="AH92" s="44"/>
      <c r="AI92" s="44"/>
      <c r="AJ92" s="44"/>
      <c r="AK92" s="44">
        <f>SUM(Y92:AJ92)</f>
        <v>19.19973</v>
      </c>
      <c r="AL92" s="52">
        <f t="shared" si="33"/>
        <v>0.3102034122855204</v>
      </c>
    </row>
    <row r="93" ht="14.25">
      <c r="H93" s="57"/>
    </row>
    <row r="94" ht="14.25">
      <c r="H94" s="57"/>
    </row>
    <row r="95" ht="14.25">
      <c r="H95" s="57"/>
    </row>
    <row r="96" ht="14.25">
      <c r="H96" s="57"/>
    </row>
    <row r="97" ht="14.25">
      <c r="H97" s="57"/>
    </row>
    <row r="98" ht="14.25">
      <c r="H98" s="57"/>
    </row>
    <row r="99" ht="14.25">
      <c r="H99" s="57"/>
    </row>
    <row r="100" ht="14.25">
      <c r="H100" s="57"/>
    </row>
    <row r="101" ht="14.25">
      <c r="H101" s="57"/>
    </row>
    <row r="102" ht="14.25">
      <c r="H102" s="57"/>
    </row>
    <row r="103" ht="14.25">
      <c r="H103" s="57"/>
    </row>
    <row r="104" ht="14.25">
      <c r="H104" s="57"/>
    </row>
    <row r="105" ht="14.25">
      <c r="H105" s="57"/>
    </row>
    <row r="106" ht="14.25">
      <c r="H106" s="57"/>
    </row>
    <row r="107" ht="14.25">
      <c r="H107" s="57"/>
    </row>
    <row r="108" ht="14.25">
      <c r="H108" s="57"/>
    </row>
    <row r="109" ht="14.25">
      <c r="H109" s="57"/>
    </row>
    <row r="110" ht="14.25">
      <c r="H110" s="57"/>
    </row>
    <row r="111" ht="14.25">
      <c r="H111" s="57"/>
    </row>
    <row r="112" ht="14.25">
      <c r="H112" s="57"/>
    </row>
  </sheetData>
  <sheetProtection/>
  <mergeCells count="41">
    <mergeCell ref="A1:AK1"/>
    <mergeCell ref="L2:W2"/>
    <mergeCell ref="Y2:AD2"/>
    <mergeCell ref="M3:S3"/>
    <mergeCell ref="A5:C5"/>
    <mergeCell ref="B6:C6"/>
    <mergeCell ref="B43:C43"/>
    <mergeCell ref="B73:C73"/>
    <mergeCell ref="B89:C89"/>
    <mergeCell ref="B91:C91"/>
    <mergeCell ref="A2:A4"/>
    <mergeCell ref="B2:B4"/>
    <mergeCell ref="C2:C4"/>
    <mergeCell ref="D2:D4"/>
    <mergeCell ref="E2:E4"/>
    <mergeCell ref="F2:F4"/>
    <mergeCell ref="G2:G4"/>
    <mergeCell ref="H2:H4"/>
    <mergeCell ref="I2:I4"/>
    <mergeCell ref="J2:J4"/>
    <mergeCell ref="K2:K4"/>
    <mergeCell ref="L3:L4"/>
    <mergeCell ref="T3:T4"/>
    <mergeCell ref="U3:U4"/>
    <mergeCell ref="V3:V4"/>
    <mergeCell ref="W3:W4"/>
    <mergeCell ref="X2:X4"/>
    <mergeCell ref="Y3:Y4"/>
    <mergeCell ref="Z3:Z4"/>
    <mergeCell ref="AA3:AA4"/>
    <mergeCell ref="AB3:AB4"/>
    <mergeCell ref="AC3:AC4"/>
    <mergeCell ref="AD3:AD4"/>
    <mergeCell ref="AE3:AE4"/>
    <mergeCell ref="AF3:AF4"/>
    <mergeCell ref="AG3:AG4"/>
    <mergeCell ref="AH3:AH4"/>
    <mergeCell ref="AI3:AI4"/>
    <mergeCell ref="AJ3:AJ4"/>
    <mergeCell ref="AK2:AK4"/>
    <mergeCell ref="AL2:AL4"/>
  </mergeCells>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2023-09-13T11:05:37Z</dcterms:created>
  <dcterms:modified xsi:type="dcterms:W3CDTF">2023-09-13T11:13:21Z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