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11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<sst xmlns="http://schemas.openxmlformats.org/spreadsheetml/2006/main" count="230" uniqueCount="155">
  <si>
    <t>伽师县2022年巩固拓展脱贫攻坚成果同乡村振兴有效衔接项目台账</t>
  </si>
  <si>
    <t>序号</t>
  </si>
  <si>
    <t>项目库编号</t>
  </si>
  <si>
    <t>项目名称</t>
  </si>
  <si>
    <t>项目类型</t>
  </si>
  <si>
    <t>建设地点及内容</t>
  </si>
  <si>
    <t>本年度
计划投资
(万元)</t>
  </si>
  <si>
    <t>整合资金安排情况（万元）</t>
  </si>
  <si>
    <t>10月支出计划任务
（万元）</t>
  </si>
  <si>
    <t>1月支出</t>
  </si>
  <si>
    <t>3月支出</t>
  </si>
  <si>
    <t>4月支出</t>
  </si>
  <si>
    <t>5月支出</t>
  </si>
  <si>
    <t>6月已支出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</si>
  <si>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</si>
  <si>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</si>
  <si>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</si>
  <si>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</si>
  <si>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</si>
  <si>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</si>
  <si>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</si>
  <si>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</si>
  <si>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</si>
  <si>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</si>
  <si>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</si>
  <si>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</si>
  <si>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</si>
  <si>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</si>
  <si>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</si>
  <si>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</si>
  <si>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</si>
  <si>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</si>
  <si>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2022-js001</t>
  </si>
  <si>
    <t>伽师县新梅加工厂附属配套工程建设项目</t>
  </si>
  <si>
    <t>产业增收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</si>
  <si>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</si>
  <si>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供销社</t>
  </si>
  <si>
    <t>2022-js002</t>
  </si>
  <si>
    <t>伽师县2022年拱棚建设项目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</si>
  <si>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村（10）村2座，卧里托格拉克镇巴扎（28）村3座，克孜勒博依镇恰瓦拉（27）村3座，米夏乡其兰力克（8）村2座，夏普吐勒镇恰依拉（19）村3座，和夏阿瓦提镇欧吐拉巴格恰村（38）村3座，克孜勒苏乡古里巴什（18）村2座，古勒鲁克乡2座，玉代克力克乡乔拉克（10）村2座，铁日木乡阿亚格铁日木村（5）村2座，巴仁镇巴仁（1）村2座。</t>
  </si>
  <si>
    <t>农技推广中心</t>
  </si>
  <si>
    <t>英买里乡</t>
  </si>
  <si>
    <t>江巴孜乡</t>
  </si>
  <si>
    <t>卧里托格拉克镇</t>
  </si>
  <si>
    <t>克孜勒博依镇</t>
  </si>
  <si>
    <t>米夏乡</t>
  </si>
  <si>
    <t>夏普吐勒镇</t>
  </si>
  <si>
    <t>和夏阿瓦提镇</t>
  </si>
  <si>
    <t>克孜勒苏乡</t>
  </si>
  <si>
    <t>古勒鲁克乡</t>
  </si>
  <si>
    <t>玉代克力克乡</t>
  </si>
  <si>
    <t>铁日木乡</t>
  </si>
  <si>
    <t>巴仁镇</t>
  </si>
  <si>
    <t>2022-js006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</si>
  <si>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</si>
  <si>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</si>
  <si>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2022-js007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</si>
  <si>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</si>
  <si>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</si>
  <si>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自然资源局</t>
  </si>
  <si>
    <t>2022-js008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</si>
  <si>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</si>
  <si>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</si>
  <si>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2022-js010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</si>
  <si>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</si>
  <si>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</si>
  <si>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</si>
  <si>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2022-js012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</si>
  <si>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</si>
  <si>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</si>
  <si>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</si>
  <si>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</si>
  <si>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</si>
  <si>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伽师县一二三产业融合特色产业小镇建设（二期）</t>
  </si>
  <si>
    <t>在喀什市伯什克然木乡喀拉库木（18）村，建设一座集孵化、育雏、养殖、屠宰等黑鸡家禽养殖基地的基础设施建设，设备购置等，总投资2000万元。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</si>
  <si>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</si>
  <si>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</si>
  <si>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</si>
  <si>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</si>
  <si>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</si>
  <si>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江巴孜乡（防渗渠）</t>
  </si>
  <si>
    <t>卧里托格拉克镇（防渗渠）</t>
  </si>
  <si>
    <t>米夏乡（道路）</t>
  </si>
  <si>
    <t>夏普吐勒镇（道路）</t>
  </si>
  <si>
    <t>和夏阿瓦提镇（防渗渠）</t>
  </si>
  <si>
    <t>克孜勒苏乡（防渗渠）</t>
  </si>
  <si>
    <t>古勒鲁克乡（防渗渠\土地整治）</t>
  </si>
  <si>
    <t>2022-js017</t>
  </si>
  <si>
    <t>伽师县小额贷款贴息项目</t>
  </si>
  <si>
    <t>全县小额信贷8494户脱贫户贴息，资金1000万元。</t>
  </si>
  <si>
    <t>财政局</t>
  </si>
  <si>
    <t>2022-js003</t>
  </si>
  <si>
    <t>伽师县现代设施新梅产业园建设项目</t>
  </si>
  <si>
    <t>为大力发展设施农业，增强反季市场节供应能力，提高农民收入，在英买里乡英买里村，夏阿瓦提镇墩吕克（17）村、克亚克勒克（28）村，铁日木乡恰央恰克提（9）村、阿亚格兰干（10）村，建设温室大棚875座，规格;50m*9m,补助标准：20万元/座，总投资17500万元.</t>
  </si>
  <si>
    <t>农技中心</t>
  </si>
  <si>
    <t>2022-js020</t>
  </si>
  <si>
    <t>伽师县乡镇小微产业园建设项目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</si>
  <si>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</si>
  <si>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商工局</t>
  </si>
  <si>
    <t>2022-js025</t>
  </si>
  <si>
    <t>伽师县2022年乡村道路日常养护项目</t>
  </si>
  <si>
    <t>就业增收</t>
  </si>
  <si>
    <t>12个乡镇1254名护路员公益性岗位进行工资补助，每人每月1000元，计划资金1504.8万元。</t>
  </si>
  <si>
    <t>2022-js019</t>
  </si>
  <si>
    <t>伽师县2022年乡村振兴就业创业基地建设项目</t>
  </si>
  <si>
    <t>在4个乡镇集中连片建设乡村振兴就业创业基地，配套相应附属设施。资产归村集体所有，每个乡村振兴就业创业基地解决每个村不低于5名已脱贫户就业，每个村补助资金100万，总资金4300万元。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</si>
  <si>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</si>
  <si>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</si>
  <si>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</si>
  <si>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对19个示范村开展垃圾污水处理、道路建设、渠道防渗、公共厕所、电子商务服务站等项目建设，总投资11012.615万元。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</si>
  <si>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乡村振兴局</t>
  </si>
  <si>
    <t>上缴52.537136</t>
  </si>
  <si>
    <t>2022-js031</t>
  </si>
  <si>
    <t>伽师县英买里乡英买里村重点示范村建设项目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</si>
  <si>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2932.37万元，其中衔接资金1790.37万元。</t>
  </si>
  <si>
    <t>2022-js032</t>
  </si>
  <si>
    <t>伽师县铁日木乡幸福村重点示范村建设项目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</si>
  <si>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其中衔接资金1983.51万元。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</si>
  <si>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</si>
  <si>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</si>
  <si>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</si>
  <si>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</si>
  <si>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</si>
  <si>
    <t>2022-js037</t>
  </si>
  <si>
    <t>伽师县2022年农村居民“煤改电”工程建设项目</t>
  </si>
  <si>
    <t>8个乡镇72个村4224户（脱贫户3128户，三类户监测户1096户）开展煤改电建设，解决脱贫户冬季采暖问题，每户补助900元/户，资金380.16万元。</t>
  </si>
  <si>
    <t>发改委、住建局</t>
  </si>
  <si>
    <t>2022-js015</t>
  </si>
  <si>
    <t>喀什地区一市四县屠宰分割加工体系建设项目-伽师县项目</t>
  </si>
  <si>
    <t>疏附县吾库萨克镇建设一座畜牧屠宰加工厂。建设内容屠宰间2592平方，并购置畜禽屠宰设备1套，建设厂区硬化8000平方及给排水、供电等附属设施，总投资1000万元。</t>
  </si>
  <si>
    <t>畜牧局</t>
  </si>
  <si>
    <t>2022-js026</t>
  </si>
  <si>
    <t>伽师县2022年过渡性公益岗位安置补助项目</t>
  </si>
  <si>
    <t>对伽师县12个乡镇320名过渡性脱贫户、监测户公益性岗位进行5个月安置补助资金，补助标准：1620元/人/月，总资金259.2万元。</t>
  </si>
  <si>
    <t>2022-js039</t>
  </si>
  <si>
    <t>伽师县畜禽养殖小区附属配套建设项目</t>
  </si>
  <si>
    <t>在和夏阿瓦提镇达西村为养殖小区配套道路、水、电等附属设施建设，总投资398.5万元。</t>
  </si>
  <si>
    <t>2022-js033</t>
  </si>
  <si>
    <t>伽师县夏普吐勒镇斗渠防渗改建项目</t>
  </si>
  <si>
    <t>夏普吐勒镇渠系防渗改建125km及配套建筑物，总投资5000万元。</t>
  </si>
  <si>
    <t>2022-js022</t>
  </si>
  <si>
    <t>伽师瓜干加工厂附属配套项目</t>
  </si>
  <si>
    <t>在卧里托格拉克镇销尔介乃克（18）村伽师瓜加工厂区购置2000kw变压器1台，配电间54平方，100吨污水处理设备1台及设备间90平方，等基础设施，投资256万元。</t>
  </si>
  <si>
    <t>2022-js004</t>
  </si>
  <si>
    <t>伽师县铁日木乡斗渠防渗改造工程</t>
  </si>
  <si>
    <t>铁日木乡阿亚格兰干（10）村斗渠改造总长度为3.55km，配套渠系建筑物13座。流量0.8m³/s，总投资390万元。</t>
  </si>
  <si>
    <t>2022-js009</t>
  </si>
  <si>
    <t>伽师县英买里乡斗渠防渗改造工程</t>
  </si>
  <si>
    <t>英买里乡吐孜鲁克（9）村斗渠改造总长度为4.5km，配套渠系建筑物23座。流量1m³/s，总投资390万元。</t>
  </si>
  <si>
    <t>2022-js011</t>
  </si>
  <si>
    <t>伽师县和夏阿瓦提镇斗渠防渗改造工程</t>
  </si>
  <si>
    <t>和夏阿瓦提镇克亚格勒克（28）村斗渠改造总长度为4.2km，配套渠系建筑物6座。流量1m³/s，总投资390万元。</t>
  </si>
  <si>
    <t>2022-js029</t>
  </si>
  <si>
    <t>伽师县西克尔库勒镇、铁日木乡、江巴孜乡村组道路建设项目</t>
  </si>
  <si>
    <t>伽师县2022年西克尔库勒镇、铁日木乡、江巴孜乡村组道路建设项目：主要建设内容：路基、路面桥涵及附属设施，新建村组道路共5.7km，其中：新建西克尔库勒镇内部砂石道路3.4公里；新建铁日木乡阿亚格铁日木村沥青道路0.5公里；新建江巴孜乡阿亚格仓村砂石道路1.8公里。 路基宽度 7.0m/6.5m，路面宽6.5m/6m，路面结构为15cm沥青面层+15cm级配砂砾基层+35cm天然砂砾底基层 。总投资300万元。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</si>
</sst>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.00_ "/>
  </numFmts>
  <fonts count="62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0"/>
    </font>
    <font>
      <sz val="12"/>
      <name val="方正黑体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sz val="10"/>
      <color rgb="FFFF0000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4" fillId="0" borderId="9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NumberFormat="1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5" fillId="0" borderId="9" xfId="0" applyNumberFormat="1" applyFont="1" applyFill="1" applyBorder="1" applyAlignment="1" applyProtection="1">
      <alignment horizontal="center" vertical="center" wrapText="1"/>
      <protection/>
    </xf>
    <xf numFmtId="177" fontId="56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177" fontId="53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0" applyNumberFormat="1" applyFont="1" applyFill="1" applyBorder="1" applyAlignment="1" applyProtection="1">
      <alignment horizontal="center" vertical="center" wrapText="1"/>
      <protection/>
    </xf>
    <xf numFmtId="177" fontId="5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177" fontId="60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53" fillId="0" borderId="0" xfId="0" applyNumberFormat="1" applyFont="1" applyFill="1" applyBorder="1" applyAlignment="1" applyProtection="1">
      <alignment horizontal="center" vertical="center"/>
      <protection/>
    </xf>
    <xf numFmtId="177" fontId="53" fillId="0" borderId="0" xfId="0" applyNumberFormat="1" applyFont="1" applyFill="1" applyBorder="1" applyAlignment="1" applyProtection="1">
      <alignment vertical="center"/>
      <protection/>
    </xf>
    <xf numFmtId="31" fontId="5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9" xfId="0" applyNumberFormat="1" applyFont="1" applyFill="1" applyBorder="1" applyAlignment="1" applyProtection="1">
      <alignment horizontal="center" vertical="center" wrapText="1"/>
      <protection/>
    </xf>
    <xf numFmtId="10" fontId="5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SheetLayoutView="100" workbookViewId="0" topLeftCell="D1">
      <selection activeCell="E5" sqref="E5"/>
    </sheetView>
  </sheetViews>
  <sheetFormatPr defaultColWidth="9.00390625" defaultRowHeight="14.25"/>
  <cols>
    <col min="1" max="4" width="9.00390625" style="1" customWidth="1"/>
    <col min="5" max="5" width="43.00390625" style="1" customWidth="1"/>
    <col min="6" max="12" width="9.00390625" style="1" customWidth="1"/>
    <col min="13" max="22" width="9.00390625" style="1" hidden="1" customWidth="1"/>
    <col min="23" max="23" width="9.00390625" style="1" customWidth="1"/>
    <col min="24" max="24" width="9.00390625" style="1" hidden="1" customWidth="1"/>
    <col min="25" max="25" width="9.00390625" style="1" customWidth="1"/>
    <col min="26" max="26" width="16.75390625" style="1" customWidth="1"/>
    <col min="27" max="16384" width="9.00390625" style="1" customWidth="1"/>
  </cols>
  <sheetData>
    <row r="1" spans="1:29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"/>
      <c r="AA1" s="39"/>
      <c r="AB1" s="2"/>
      <c r="AC1" s="2"/>
    </row>
    <row r="2" spans="1:29" ht="14.25">
      <c r="A2" s="3"/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22"/>
      <c r="N2" s="22"/>
      <c r="O2" s="22">
        <f>H5*0.3</f>
        <v>18711.54</v>
      </c>
      <c r="P2" s="22"/>
      <c r="Q2" s="22"/>
      <c r="R2" s="33"/>
      <c r="S2" s="22"/>
      <c r="T2" s="22"/>
      <c r="U2" s="22"/>
      <c r="V2" s="22"/>
      <c r="W2" s="22"/>
      <c r="X2" s="22"/>
      <c r="Y2" s="22"/>
      <c r="Z2" s="4"/>
      <c r="AA2" s="40"/>
      <c r="AB2" s="41"/>
      <c r="AC2" s="42"/>
    </row>
    <row r="3" spans="1:29" ht="14.2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/>
      <c r="I3" s="9"/>
      <c r="J3" s="9"/>
      <c r="K3" s="9"/>
      <c r="L3" s="23"/>
      <c r="M3" s="24" t="s">
        <v>8</v>
      </c>
      <c r="N3" s="25" t="s">
        <v>9</v>
      </c>
      <c r="O3" s="25" t="s">
        <v>10</v>
      </c>
      <c r="P3" s="25" t="s">
        <v>11</v>
      </c>
      <c r="Q3" s="25" t="s">
        <v>12</v>
      </c>
      <c r="R3" s="25" t="s">
        <v>13</v>
      </c>
      <c r="S3" s="25" t="s">
        <v>14</v>
      </c>
      <c r="T3" s="25" t="s">
        <v>15</v>
      </c>
      <c r="U3" s="25" t="s">
        <v>16</v>
      </c>
      <c r="V3" s="25" t="s">
        <v>17</v>
      </c>
      <c r="W3" s="25" t="s">
        <v>18</v>
      </c>
      <c r="X3" s="25" t="s">
        <v>19</v>
      </c>
      <c r="Y3" s="25" t="s">
        <v>20</v>
      </c>
      <c r="Z3" s="43" t="s">
        <v>21</v>
      </c>
      <c r="AA3" s="44" t="s">
        <v>22</v>
      </c>
      <c r="AB3" s="6" t="s">
        <v>23</v>
      </c>
      <c r="AC3" s="6" t="s">
        <v>24</v>
      </c>
    </row>
    <row r="4" spans="1:29" ht="57">
      <c r="A4" s="6"/>
      <c r="B4" s="10"/>
      <c r="C4" s="6"/>
      <c r="D4" s="6"/>
      <c r="E4" s="6"/>
      <c r="F4" s="10"/>
      <c r="G4" s="6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24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45"/>
      <c r="AA4" s="44"/>
      <c r="AB4" s="6"/>
      <c r="AC4" s="6"/>
    </row>
    <row r="5" spans="1:29" ht="20.25">
      <c r="A5" s="12"/>
      <c r="B5" s="13"/>
      <c r="C5" s="13"/>
      <c r="D5" s="12"/>
      <c r="E5" s="14" t="s">
        <v>31</v>
      </c>
      <c r="F5" s="12">
        <f>SUM(F6:F60)</f>
        <v>75792.207717</v>
      </c>
      <c r="G5" s="12">
        <f aca="true" t="shared" si="0" ref="G5:X5">SUM(G6:G7)+SUM(G20:G26)+G27+SUM(G36:G38)+SUM(G43:G45)+SUM(G57:G62)+SUM(G75:G83)</f>
        <v>64995.47</v>
      </c>
      <c r="H5" s="12">
        <f t="shared" si="0"/>
        <v>62371.8</v>
      </c>
      <c r="I5" s="12">
        <f t="shared" si="0"/>
        <v>2361.17</v>
      </c>
      <c r="J5" s="12">
        <f t="shared" si="0"/>
        <v>0</v>
      </c>
      <c r="K5" s="12">
        <f t="shared" si="0"/>
        <v>262.5</v>
      </c>
      <c r="L5" s="12">
        <f t="shared" si="0"/>
        <v>0</v>
      </c>
      <c r="M5" s="12">
        <f t="shared" si="0"/>
        <v>4380.334683</v>
      </c>
      <c r="N5" s="12">
        <f t="shared" si="0"/>
        <v>434.594028</v>
      </c>
      <c r="O5" s="12">
        <f t="shared" si="0"/>
        <v>5832.800666999999</v>
      </c>
      <c r="P5" s="12">
        <f t="shared" si="0"/>
        <v>5511.206044</v>
      </c>
      <c r="Q5" s="12">
        <f t="shared" si="0"/>
        <v>1180.131965</v>
      </c>
      <c r="R5" s="12">
        <f t="shared" si="0"/>
        <v>9196.342088</v>
      </c>
      <c r="S5" s="12">
        <f t="shared" si="0"/>
        <v>9232.966734</v>
      </c>
      <c r="T5" s="12">
        <f t="shared" si="0"/>
        <v>1708.7042040000006</v>
      </c>
      <c r="U5" s="12">
        <f t="shared" si="0"/>
        <v>17693.195654</v>
      </c>
      <c r="V5" s="12">
        <f t="shared" si="0"/>
        <v>5218.691849</v>
      </c>
      <c r="W5" s="12">
        <f t="shared" si="0"/>
        <v>3594.452255</v>
      </c>
      <c r="X5" s="12">
        <f t="shared" si="0"/>
        <v>0</v>
      </c>
      <c r="Y5" s="12">
        <f>SUM(Y6:Y7)+SUM(Y20:Y26)+Y27+SUM(Y36:Y38)+SUM(Y43:Y45)+SUM(Y57:Y62)+Y75</f>
        <v>57503.33878699999</v>
      </c>
      <c r="Z5" s="46">
        <f aca="true" t="shared" si="1" ref="Z5:Z68">G5-Y5</f>
        <v>7492.131213000008</v>
      </c>
      <c r="AA5" s="47">
        <f aca="true" t="shared" si="2" ref="AA5:AA68">Y5/G5</f>
        <v>0.8847284093337581</v>
      </c>
      <c r="AB5" s="48"/>
      <c r="AC5" s="12"/>
    </row>
    <row r="6" spans="1:29" ht="40.5" customHeight="1">
      <c r="A6" s="15">
        <v>1</v>
      </c>
      <c r="B6" s="15" t="s">
        <v>32</v>
      </c>
      <c r="C6" s="16" t="s">
        <v>33</v>
      </c>
      <c r="D6" s="15" t="s">
        <v>34</v>
      </c>
      <c r="E6" s="16" t="s">
        <v>35</v>
      </c>
      <c r="F6" s="15">
        <v>1700</v>
      </c>
      <c r="G6" s="15">
        <f aca="true" t="shared" si="3" ref="G6:G69">SUM(H6:L6)</f>
        <v>1700</v>
      </c>
      <c r="H6" s="15">
        <v>1700</v>
      </c>
      <c r="I6" s="15"/>
      <c r="J6" s="15"/>
      <c r="K6" s="15"/>
      <c r="L6" s="15"/>
      <c r="M6" s="27"/>
      <c r="N6" s="27"/>
      <c r="O6" s="27"/>
      <c r="P6" s="27">
        <v>56</v>
      </c>
      <c r="Q6" s="27">
        <v>49</v>
      </c>
      <c r="R6" s="27">
        <v>486.823</v>
      </c>
      <c r="S6" s="27">
        <v>973.646</v>
      </c>
      <c r="T6" s="27">
        <v>-98</v>
      </c>
      <c r="U6" s="34">
        <f>-7+113.592</f>
        <v>106.592</v>
      </c>
      <c r="V6" s="27"/>
      <c r="W6" s="27"/>
      <c r="X6" s="27"/>
      <c r="Y6" s="27">
        <f aca="true" t="shared" si="4" ref="Y6:Y19">SUM(N6:X6)</f>
        <v>1574.0610000000001</v>
      </c>
      <c r="Z6" s="49">
        <f t="shared" si="1"/>
        <v>125.93899999999985</v>
      </c>
      <c r="AA6" s="47">
        <f t="shared" si="2"/>
        <v>0.9259182352941178</v>
      </c>
      <c r="AB6" s="15" t="s">
        <v>36</v>
      </c>
      <c r="AC6" s="50"/>
    </row>
    <row r="7" spans="1:29" ht="40.5" customHeight="1">
      <c r="A7" s="15">
        <v>2</v>
      </c>
      <c r="B7" s="15" t="s">
        <v>37</v>
      </c>
      <c r="C7" s="16" t="s">
        <v>38</v>
      </c>
      <c r="D7" s="15" t="s">
        <v>34</v>
      </c>
      <c r="E7" s="16" t="s">
        <v>39</v>
      </c>
      <c r="F7" s="15">
        <v>3500</v>
      </c>
      <c r="G7" s="15">
        <f t="shared" si="3"/>
        <v>3344.3394120000003</v>
      </c>
      <c r="H7" s="15">
        <f aca="true" t="shared" si="5" ref="H7:V7">SUM(H8:H19)</f>
        <v>3344.3394120000003</v>
      </c>
      <c r="I7" s="15">
        <f t="shared" si="5"/>
        <v>0</v>
      </c>
      <c r="J7" s="15">
        <f t="shared" si="5"/>
        <v>0</v>
      </c>
      <c r="K7" s="15">
        <f t="shared" si="5"/>
        <v>0</v>
      </c>
      <c r="L7" s="15">
        <f t="shared" si="5"/>
        <v>0</v>
      </c>
      <c r="M7" s="15">
        <f t="shared" si="5"/>
        <v>14.58836</v>
      </c>
      <c r="N7" s="15">
        <f t="shared" si="5"/>
        <v>0</v>
      </c>
      <c r="O7" s="15">
        <f t="shared" si="5"/>
        <v>0</v>
      </c>
      <c r="P7" s="15">
        <f t="shared" si="5"/>
        <v>0</v>
      </c>
      <c r="Q7" s="15">
        <f t="shared" si="5"/>
        <v>0</v>
      </c>
      <c r="R7" s="15">
        <f t="shared" si="5"/>
        <v>1641.8795</v>
      </c>
      <c r="S7" s="15">
        <f t="shared" si="5"/>
        <v>1510.682218</v>
      </c>
      <c r="T7" s="15">
        <f t="shared" si="5"/>
        <v>3.622626</v>
      </c>
      <c r="U7" s="15">
        <f t="shared" si="5"/>
        <v>1.616826</v>
      </c>
      <c r="V7" s="35">
        <f t="shared" si="5"/>
        <v>3.233152</v>
      </c>
      <c r="W7" s="27"/>
      <c r="X7" s="27"/>
      <c r="Y7" s="27">
        <f t="shared" si="4"/>
        <v>3161.0343219999995</v>
      </c>
      <c r="Z7" s="49">
        <f t="shared" si="1"/>
        <v>183.30509000000075</v>
      </c>
      <c r="AA7" s="47">
        <f t="shared" si="2"/>
        <v>0.9451894477748658</v>
      </c>
      <c r="AB7" s="15" t="s">
        <v>40</v>
      </c>
      <c r="AC7" s="50"/>
    </row>
    <row r="8" spans="1:29" ht="40.5" customHeight="1">
      <c r="A8" s="15"/>
      <c r="B8" s="15"/>
      <c r="C8" s="16" t="s">
        <v>41</v>
      </c>
      <c r="D8" s="15"/>
      <c r="E8" s="16"/>
      <c r="F8" s="15"/>
      <c r="G8" s="15">
        <f t="shared" si="3"/>
        <v>344.818226</v>
      </c>
      <c r="H8" s="15">
        <f>364-19.181774</f>
        <v>344.818226</v>
      </c>
      <c r="I8" s="15"/>
      <c r="J8" s="15"/>
      <c r="K8" s="15"/>
      <c r="L8" s="15"/>
      <c r="M8" s="27"/>
      <c r="N8" s="27"/>
      <c r="O8" s="27"/>
      <c r="P8" s="27"/>
      <c r="Q8" s="27"/>
      <c r="R8" s="27">
        <v>169.47825</v>
      </c>
      <c r="S8" s="27">
        <v>152.530425</v>
      </c>
      <c r="T8" s="27"/>
      <c r="U8" s="27"/>
      <c r="V8" s="27"/>
      <c r="W8" s="27"/>
      <c r="X8" s="27"/>
      <c r="Y8" s="27">
        <f t="shared" si="4"/>
        <v>322.00867500000004</v>
      </c>
      <c r="Z8" s="49">
        <f t="shared" si="1"/>
        <v>22.809550999999942</v>
      </c>
      <c r="AA8" s="47">
        <f t="shared" si="2"/>
        <v>0.9338505064984589</v>
      </c>
      <c r="AB8" s="15"/>
      <c r="AC8" s="34"/>
    </row>
    <row r="9" spans="1:29" ht="40.5" customHeight="1">
      <c r="A9" s="15"/>
      <c r="B9" s="15"/>
      <c r="C9" s="16" t="s">
        <v>42</v>
      </c>
      <c r="D9" s="15"/>
      <c r="E9" s="16"/>
      <c r="F9" s="15"/>
      <c r="G9" s="15">
        <f t="shared" si="3"/>
        <v>231.21392600000001</v>
      </c>
      <c r="H9" s="15">
        <f>240-8.786074</f>
        <v>231.21392600000001</v>
      </c>
      <c r="I9" s="15"/>
      <c r="J9" s="15"/>
      <c r="K9" s="15"/>
      <c r="L9" s="15"/>
      <c r="M9" s="27"/>
      <c r="N9" s="27"/>
      <c r="O9" s="27"/>
      <c r="P9" s="27"/>
      <c r="Q9" s="27"/>
      <c r="R9" s="27">
        <v>113.3172</v>
      </c>
      <c r="S9" s="27">
        <f>69.9903+33.9951</f>
        <v>103.9854</v>
      </c>
      <c r="T9" s="27"/>
      <c r="U9" s="27"/>
      <c r="V9" s="27"/>
      <c r="W9" s="27"/>
      <c r="X9" s="27"/>
      <c r="Y9" s="27">
        <f t="shared" si="4"/>
        <v>217.30259999999998</v>
      </c>
      <c r="Z9" s="49">
        <f t="shared" si="1"/>
        <v>13.911326000000031</v>
      </c>
      <c r="AA9" s="47">
        <f t="shared" si="2"/>
        <v>0.9398335288852799</v>
      </c>
      <c r="AB9" s="15"/>
      <c r="AC9" s="34"/>
    </row>
    <row r="10" spans="1:29" ht="40.5" customHeight="1">
      <c r="A10" s="15"/>
      <c r="B10" s="15"/>
      <c r="C10" s="16" t="s">
        <v>43</v>
      </c>
      <c r="D10" s="15"/>
      <c r="E10" s="16"/>
      <c r="F10" s="15"/>
      <c r="G10" s="15">
        <f t="shared" si="3"/>
        <v>344.952726</v>
      </c>
      <c r="H10" s="15">
        <f>364-19.047274</f>
        <v>344.952726</v>
      </c>
      <c r="I10" s="15"/>
      <c r="J10" s="15"/>
      <c r="K10" s="15"/>
      <c r="L10" s="15"/>
      <c r="M10" s="27">
        <v>0.03</v>
      </c>
      <c r="N10" s="27"/>
      <c r="O10" s="27"/>
      <c r="P10" s="27"/>
      <c r="Q10" s="27"/>
      <c r="R10" s="27">
        <v>169.545</v>
      </c>
      <c r="S10" s="27">
        <v>154.5905</v>
      </c>
      <c r="T10" s="27"/>
      <c r="U10" s="27"/>
      <c r="V10" s="27"/>
      <c r="W10" s="27"/>
      <c r="X10" s="27"/>
      <c r="Y10" s="27">
        <f t="shared" si="4"/>
        <v>324.1355</v>
      </c>
      <c r="Z10" s="49">
        <f t="shared" si="1"/>
        <v>20.817226000000005</v>
      </c>
      <c r="AA10" s="47">
        <f t="shared" si="2"/>
        <v>0.9396519452349538</v>
      </c>
      <c r="AB10" s="15"/>
      <c r="AC10" s="34"/>
    </row>
    <row r="11" spans="1:29" ht="40.5" customHeight="1">
      <c r="A11" s="16"/>
      <c r="B11" s="16"/>
      <c r="C11" s="16" t="s">
        <v>44</v>
      </c>
      <c r="D11" s="16"/>
      <c r="E11" s="16"/>
      <c r="F11" s="16"/>
      <c r="G11" s="15">
        <f t="shared" si="3"/>
        <v>345.795526</v>
      </c>
      <c r="H11" s="15">
        <f>364-18.204474</f>
        <v>345.795526</v>
      </c>
      <c r="I11" s="16"/>
      <c r="J11" s="16"/>
      <c r="K11" s="16"/>
      <c r="L11" s="16"/>
      <c r="M11" s="27"/>
      <c r="N11" s="16"/>
      <c r="O11" s="16"/>
      <c r="P11" s="16"/>
      <c r="Q11" s="16"/>
      <c r="R11" s="15">
        <v>169.9635</v>
      </c>
      <c r="S11" s="16">
        <f>103.9781+50.98905</f>
        <v>154.96715</v>
      </c>
      <c r="T11" s="15"/>
      <c r="U11" s="16"/>
      <c r="V11" s="16"/>
      <c r="W11" s="16"/>
      <c r="X11" s="16"/>
      <c r="Y11" s="27">
        <f t="shared" si="4"/>
        <v>324.93065</v>
      </c>
      <c r="Z11" s="49">
        <f t="shared" si="1"/>
        <v>20.86487599999998</v>
      </c>
      <c r="AA11" s="47">
        <f t="shared" si="2"/>
        <v>0.9396612320542286</v>
      </c>
      <c r="AB11" s="16"/>
      <c r="AC11" s="34"/>
    </row>
    <row r="12" spans="1:29" ht="40.5" customHeight="1">
      <c r="A12" s="15"/>
      <c r="B12" s="15"/>
      <c r="C12" s="16" t="s">
        <v>45</v>
      </c>
      <c r="D12" s="15"/>
      <c r="E12" s="16"/>
      <c r="F12" s="15"/>
      <c r="G12" s="15">
        <f t="shared" si="3"/>
        <v>231.657626</v>
      </c>
      <c r="H12" s="15">
        <f>240-8.342374</f>
        <v>231.657626</v>
      </c>
      <c r="I12" s="15"/>
      <c r="J12" s="15"/>
      <c r="K12" s="15"/>
      <c r="L12" s="15"/>
      <c r="M12" s="27"/>
      <c r="N12" s="27"/>
      <c r="O12" s="27"/>
      <c r="P12" s="27"/>
      <c r="Q12" s="27"/>
      <c r="R12" s="27">
        <v>113.5375</v>
      </c>
      <c r="S12" s="27">
        <f>2+68.1225+34.06125</f>
        <v>104.18375</v>
      </c>
      <c r="T12" s="27">
        <v>1.622626</v>
      </c>
      <c r="U12" s="27"/>
      <c r="V12" s="27"/>
      <c r="W12" s="27"/>
      <c r="X12" s="27"/>
      <c r="Y12" s="27">
        <f t="shared" si="4"/>
        <v>219.343876</v>
      </c>
      <c r="Z12" s="49">
        <f t="shared" si="1"/>
        <v>12.313749999999999</v>
      </c>
      <c r="AA12" s="47">
        <f t="shared" si="2"/>
        <v>0.9468450479588356</v>
      </c>
      <c r="AB12" s="15"/>
      <c r="AC12" s="34"/>
    </row>
    <row r="13" spans="1:29" ht="40.5" customHeight="1">
      <c r="A13" s="15"/>
      <c r="B13" s="15"/>
      <c r="C13" s="16" t="s">
        <v>46</v>
      </c>
      <c r="D13" s="15"/>
      <c r="E13" s="16"/>
      <c r="F13" s="15"/>
      <c r="G13" s="15">
        <f t="shared" si="3"/>
        <v>345.264726</v>
      </c>
      <c r="H13" s="15">
        <f>364-18.735274</f>
        <v>345.264726</v>
      </c>
      <c r="I13" s="15"/>
      <c r="J13" s="15"/>
      <c r="K13" s="15"/>
      <c r="L13" s="15"/>
      <c r="M13" s="27"/>
      <c r="N13" s="27"/>
      <c r="O13" s="27"/>
      <c r="P13" s="27"/>
      <c r="Q13" s="27"/>
      <c r="R13" s="27">
        <v>169.69995</v>
      </c>
      <c r="S13" s="27">
        <v>159.517953</v>
      </c>
      <c r="T13" s="27">
        <v>2</v>
      </c>
      <c r="U13" s="27"/>
      <c r="V13" s="27"/>
      <c r="W13" s="27"/>
      <c r="X13" s="27"/>
      <c r="Y13" s="27">
        <f t="shared" si="4"/>
        <v>331.217903</v>
      </c>
      <c r="Z13" s="49">
        <f t="shared" si="1"/>
        <v>14.046823000000018</v>
      </c>
      <c r="AA13" s="47">
        <f t="shared" si="2"/>
        <v>0.9593157888941136</v>
      </c>
      <c r="AB13" s="15"/>
      <c r="AC13" s="34"/>
    </row>
    <row r="14" spans="1:29" ht="40.5" customHeight="1">
      <c r="A14" s="15"/>
      <c r="B14" s="15"/>
      <c r="C14" s="16" t="s">
        <v>47</v>
      </c>
      <c r="D14" s="15"/>
      <c r="E14" s="16"/>
      <c r="F14" s="15"/>
      <c r="G14" s="15">
        <f t="shared" si="3"/>
        <v>345.062926</v>
      </c>
      <c r="H14" s="15">
        <f>364-18.937074</f>
        <v>345.062926</v>
      </c>
      <c r="I14" s="15"/>
      <c r="J14" s="15"/>
      <c r="K14" s="15"/>
      <c r="L14" s="15"/>
      <c r="M14" s="27"/>
      <c r="N14" s="27"/>
      <c r="O14" s="27"/>
      <c r="P14" s="27"/>
      <c r="Q14" s="27"/>
      <c r="R14" s="27">
        <v>169.9983</v>
      </c>
      <c r="S14" s="27">
        <f>2+109.2018+49.9995</f>
        <v>161.2013</v>
      </c>
      <c r="T14" s="27"/>
      <c r="U14" s="27"/>
      <c r="V14" s="27"/>
      <c r="W14" s="27">
        <v>0.033126</v>
      </c>
      <c r="X14" s="27"/>
      <c r="Y14" s="27">
        <f t="shared" si="4"/>
        <v>331.232726</v>
      </c>
      <c r="Z14" s="49">
        <f t="shared" si="1"/>
        <v>13.83019999999999</v>
      </c>
      <c r="AA14" s="47">
        <f t="shared" si="2"/>
        <v>0.9599197741689585</v>
      </c>
      <c r="AB14" s="15"/>
      <c r="AC14" s="34"/>
    </row>
    <row r="15" spans="1:29" ht="40.5" customHeight="1">
      <c r="A15" s="15"/>
      <c r="B15" s="15"/>
      <c r="C15" s="16" t="s">
        <v>48</v>
      </c>
      <c r="D15" s="15"/>
      <c r="E15" s="16"/>
      <c r="F15" s="15"/>
      <c r="G15" s="15">
        <f t="shared" si="3"/>
        <v>231.372626</v>
      </c>
      <c r="H15" s="15">
        <f>240-8.627374</f>
        <v>231.372626</v>
      </c>
      <c r="I15" s="15"/>
      <c r="J15" s="15"/>
      <c r="K15" s="15"/>
      <c r="L15" s="15"/>
      <c r="M15" s="27">
        <v>12.95836</v>
      </c>
      <c r="N15" s="27"/>
      <c r="O15" s="27"/>
      <c r="P15" s="27"/>
      <c r="Q15" s="27"/>
      <c r="R15" s="27">
        <v>113.396</v>
      </c>
      <c r="S15" s="27">
        <v>104.0564</v>
      </c>
      <c r="T15" s="27"/>
      <c r="U15" s="27"/>
      <c r="V15" s="27"/>
      <c r="W15" s="27"/>
      <c r="X15" s="27"/>
      <c r="Y15" s="27">
        <f t="shared" si="4"/>
        <v>217.4524</v>
      </c>
      <c r="Z15" s="49">
        <f t="shared" si="1"/>
        <v>13.920225999999985</v>
      </c>
      <c r="AA15" s="47">
        <f t="shared" si="2"/>
        <v>0.9398363313730986</v>
      </c>
      <c r="AB15" s="15"/>
      <c r="AC15" s="34"/>
    </row>
    <row r="16" spans="1:29" ht="40.5" customHeight="1">
      <c r="A16" s="15"/>
      <c r="B16" s="15"/>
      <c r="C16" s="16" t="s">
        <v>49</v>
      </c>
      <c r="D16" s="15"/>
      <c r="E16" s="16"/>
      <c r="F16" s="15"/>
      <c r="G16" s="15">
        <f t="shared" si="3"/>
        <v>231.787726</v>
      </c>
      <c r="H16" s="15">
        <f>240-8.212274</f>
        <v>231.787726</v>
      </c>
      <c r="I16" s="15"/>
      <c r="J16" s="15"/>
      <c r="K16" s="15"/>
      <c r="L16" s="15"/>
      <c r="M16" s="27"/>
      <c r="N16" s="27"/>
      <c r="O16" s="27"/>
      <c r="P16" s="27"/>
      <c r="Q16" s="27"/>
      <c r="R16" s="27">
        <v>113.6021</v>
      </c>
      <c r="S16" s="27">
        <v>104.24189</v>
      </c>
      <c r="T16" s="27"/>
      <c r="U16" s="27"/>
      <c r="V16" s="27"/>
      <c r="W16" s="27"/>
      <c r="X16" s="27"/>
      <c r="Y16" s="27">
        <f t="shared" si="4"/>
        <v>217.84399</v>
      </c>
      <c r="Z16" s="49">
        <f t="shared" si="1"/>
        <v>13.943736000000001</v>
      </c>
      <c r="AA16" s="47">
        <f t="shared" si="2"/>
        <v>0.9398426472331843</v>
      </c>
      <c r="AB16" s="15"/>
      <c r="AC16" s="34"/>
    </row>
    <row r="17" spans="1:29" ht="40.5" customHeight="1">
      <c r="A17" s="15"/>
      <c r="B17" s="15"/>
      <c r="C17" s="16" t="s">
        <v>50</v>
      </c>
      <c r="D17" s="15"/>
      <c r="E17" s="16"/>
      <c r="F17" s="15"/>
      <c r="G17" s="15">
        <f t="shared" si="3"/>
        <v>230.824026</v>
      </c>
      <c r="H17" s="15">
        <f>240-9.175974</f>
        <v>230.824026</v>
      </c>
      <c r="I17" s="15"/>
      <c r="J17" s="15"/>
      <c r="K17" s="15"/>
      <c r="L17" s="15"/>
      <c r="M17" s="27"/>
      <c r="N17" s="27"/>
      <c r="O17" s="27"/>
      <c r="P17" s="27"/>
      <c r="Q17" s="27"/>
      <c r="R17" s="27">
        <v>113.1236</v>
      </c>
      <c r="S17" s="27">
        <f>67.87416+2+33.937</f>
        <v>103.81116</v>
      </c>
      <c r="T17" s="27"/>
      <c r="U17" s="27">
        <v>1.616826</v>
      </c>
      <c r="V17" s="27"/>
      <c r="W17" s="27"/>
      <c r="X17" s="27"/>
      <c r="Y17" s="27">
        <f t="shared" si="4"/>
        <v>218.551586</v>
      </c>
      <c r="Z17" s="49">
        <f t="shared" si="1"/>
        <v>12.272440000000017</v>
      </c>
      <c r="AA17" s="47">
        <f t="shared" si="2"/>
        <v>0.9468320511834413</v>
      </c>
      <c r="AB17" s="15"/>
      <c r="AC17" s="34"/>
    </row>
    <row r="18" spans="1:29" ht="40.5" customHeight="1">
      <c r="A18" s="15"/>
      <c r="B18" s="15"/>
      <c r="C18" s="16" t="s">
        <v>51</v>
      </c>
      <c r="D18" s="15"/>
      <c r="E18" s="16"/>
      <c r="F18" s="15"/>
      <c r="G18" s="15">
        <f t="shared" si="3"/>
        <v>230.827826</v>
      </c>
      <c r="H18" s="15">
        <f>240-9.172174</f>
        <v>230.827826</v>
      </c>
      <c r="I18" s="15"/>
      <c r="J18" s="15"/>
      <c r="K18" s="15"/>
      <c r="L18" s="15"/>
      <c r="M18" s="27"/>
      <c r="N18" s="27"/>
      <c r="O18" s="27"/>
      <c r="P18" s="27"/>
      <c r="Q18" s="27"/>
      <c r="R18" s="27">
        <v>113.1255</v>
      </c>
      <c r="S18" s="27">
        <f>69.8753+33.93765</f>
        <v>103.81295</v>
      </c>
      <c r="T18" s="27"/>
      <c r="U18" s="27"/>
      <c r="V18" s="27">
        <v>1.616826</v>
      </c>
      <c r="W18" s="27"/>
      <c r="X18" s="27"/>
      <c r="Y18" s="27">
        <f t="shared" si="4"/>
        <v>218.555276</v>
      </c>
      <c r="Z18" s="49">
        <f t="shared" si="1"/>
        <v>12.272549999999995</v>
      </c>
      <c r="AA18" s="47">
        <f t="shared" si="2"/>
        <v>0.9468324499144224</v>
      </c>
      <c r="AB18" s="15"/>
      <c r="AC18" s="34"/>
    </row>
    <row r="19" spans="1:29" ht="40.5" customHeight="1">
      <c r="A19" s="15"/>
      <c r="B19" s="15"/>
      <c r="C19" s="16" t="s">
        <v>52</v>
      </c>
      <c r="D19" s="15"/>
      <c r="E19" s="16"/>
      <c r="F19" s="15"/>
      <c r="G19" s="15">
        <f t="shared" si="3"/>
        <v>230.761526</v>
      </c>
      <c r="H19" s="15">
        <f>240-9.238474</f>
        <v>230.761526</v>
      </c>
      <c r="I19" s="15"/>
      <c r="J19" s="15"/>
      <c r="K19" s="15"/>
      <c r="L19" s="15"/>
      <c r="M19" s="27">
        <v>1.6</v>
      </c>
      <c r="N19" s="27"/>
      <c r="O19" s="27"/>
      <c r="P19" s="27"/>
      <c r="Q19" s="27"/>
      <c r="R19" s="27">
        <v>113.0926</v>
      </c>
      <c r="S19" s="27">
        <v>103.78334</v>
      </c>
      <c r="T19" s="27"/>
      <c r="U19" s="27"/>
      <c r="V19" s="36">
        <v>1.616326</v>
      </c>
      <c r="W19" s="27"/>
      <c r="X19" s="27"/>
      <c r="Y19" s="27">
        <f t="shared" si="4"/>
        <v>218.492266</v>
      </c>
      <c r="Z19" s="49">
        <f t="shared" si="1"/>
        <v>12.269260000000003</v>
      </c>
      <c r="AA19" s="47">
        <f t="shared" si="2"/>
        <v>0.9468314315099476</v>
      </c>
      <c r="AB19" s="15"/>
      <c r="AC19" s="34"/>
    </row>
    <row r="20" spans="1:29" ht="40.5" customHeight="1">
      <c r="A20" s="15">
        <v>3</v>
      </c>
      <c r="B20" s="15" t="s">
        <v>53</v>
      </c>
      <c r="C20" s="17" t="s">
        <v>54</v>
      </c>
      <c r="D20" s="15" t="s">
        <v>34</v>
      </c>
      <c r="E20" s="16" t="s">
        <v>55</v>
      </c>
      <c r="F20" s="15">
        <v>9300</v>
      </c>
      <c r="G20" s="15">
        <f t="shared" si="3"/>
        <v>820</v>
      </c>
      <c r="H20" s="15">
        <f>4300+3453.24+108-6961.24-80</f>
        <v>820</v>
      </c>
      <c r="I20" s="15"/>
      <c r="J20" s="15"/>
      <c r="K20" s="15"/>
      <c r="L20" s="15"/>
      <c r="M20" s="27">
        <v>626.121058</v>
      </c>
      <c r="N20" s="27"/>
      <c r="O20" s="28">
        <f>2595.484091+112.414194</f>
        <v>2707.8982849999998</v>
      </c>
      <c r="P20" s="27">
        <f>714.263368+629.976017+2727.369669</f>
        <v>4071.609054</v>
      </c>
      <c r="Q20" s="27"/>
      <c r="R20" s="27">
        <f>793.73266+180.000001</f>
        <v>973.732661</v>
      </c>
      <c r="S20" s="27">
        <v>108</v>
      </c>
      <c r="T20" s="27">
        <v>-5699.096057</v>
      </c>
      <c r="U20" s="37"/>
      <c r="V20" s="27">
        <v>363.408219</v>
      </c>
      <c r="W20" s="27">
        <v>136.182275</v>
      </c>
      <c r="X20" s="27"/>
      <c r="Y20" s="27">
        <f>273.878942+363.408219+136.182275</f>
        <v>773.469436</v>
      </c>
      <c r="Z20" s="49">
        <f t="shared" si="1"/>
        <v>46.53056400000003</v>
      </c>
      <c r="AA20" s="47">
        <f t="shared" si="2"/>
        <v>0.9432554097560976</v>
      </c>
      <c r="AB20" s="37"/>
      <c r="AC20" s="50"/>
    </row>
    <row r="21" spans="1:29" ht="40.5" customHeight="1">
      <c r="A21" s="15">
        <v>4</v>
      </c>
      <c r="B21" s="15" t="s">
        <v>56</v>
      </c>
      <c r="C21" s="16" t="s">
        <v>57</v>
      </c>
      <c r="D21" s="15" t="s">
        <v>34</v>
      </c>
      <c r="E21" s="16" t="s">
        <v>58</v>
      </c>
      <c r="F21" s="15">
        <v>1390</v>
      </c>
      <c r="G21" s="15">
        <f t="shared" si="3"/>
        <v>1387</v>
      </c>
      <c r="H21" s="15">
        <f>1390-3</f>
        <v>1387</v>
      </c>
      <c r="I21" s="15"/>
      <c r="J21" s="15"/>
      <c r="K21" s="15"/>
      <c r="L21" s="15"/>
      <c r="M21" s="27"/>
      <c r="N21" s="27"/>
      <c r="O21" s="27">
        <v>1387</v>
      </c>
      <c r="P21" s="27"/>
      <c r="Q21" s="27"/>
      <c r="R21" s="27"/>
      <c r="S21" s="27"/>
      <c r="T21" s="27"/>
      <c r="U21" s="27"/>
      <c r="V21" s="27"/>
      <c r="W21" s="27"/>
      <c r="X21" s="27"/>
      <c r="Y21" s="27">
        <f aca="true" t="shared" si="6" ref="Y21:Y37">SUM(N21:X21)</f>
        <v>1387</v>
      </c>
      <c r="Z21" s="49">
        <f t="shared" si="1"/>
        <v>0</v>
      </c>
      <c r="AA21" s="47">
        <f t="shared" si="2"/>
        <v>1</v>
      </c>
      <c r="AB21" s="15" t="s">
        <v>59</v>
      </c>
      <c r="AC21" s="50"/>
    </row>
    <row r="22" spans="1:29" ht="40.5" customHeight="1">
      <c r="A22" s="15">
        <v>5</v>
      </c>
      <c r="B22" s="15" t="s">
        <v>60</v>
      </c>
      <c r="C22" s="16" t="s">
        <v>61</v>
      </c>
      <c r="D22" s="15" t="s">
        <v>34</v>
      </c>
      <c r="E22" s="16" t="s">
        <v>62</v>
      </c>
      <c r="F22" s="15">
        <v>85.26</v>
      </c>
      <c r="G22" s="15">
        <f t="shared" si="3"/>
        <v>85.26</v>
      </c>
      <c r="H22" s="15">
        <v>85.26</v>
      </c>
      <c r="I22" s="15"/>
      <c r="J22" s="15"/>
      <c r="K22" s="15"/>
      <c r="L22" s="15"/>
      <c r="M22" s="27"/>
      <c r="N22" s="27"/>
      <c r="O22" s="27">
        <v>45.26</v>
      </c>
      <c r="P22" s="27">
        <v>40</v>
      </c>
      <c r="Q22" s="27"/>
      <c r="R22" s="27"/>
      <c r="S22" s="27"/>
      <c r="T22" s="27"/>
      <c r="U22" s="27"/>
      <c r="V22" s="27"/>
      <c r="W22" s="27"/>
      <c r="X22" s="27"/>
      <c r="Y22" s="27">
        <f t="shared" si="6"/>
        <v>85.25999999999999</v>
      </c>
      <c r="Z22" s="49">
        <f t="shared" si="1"/>
        <v>0</v>
      </c>
      <c r="AA22" s="47">
        <f t="shared" si="2"/>
        <v>0.9999999999999998</v>
      </c>
      <c r="AB22" s="15" t="s">
        <v>59</v>
      </c>
      <c r="AC22" s="50"/>
    </row>
    <row r="23" spans="1:29" ht="40.5" customHeight="1">
      <c r="A23" s="15">
        <v>6</v>
      </c>
      <c r="B23" s="15" t="s">
        <v>63</v>
      </c>
      <c r="C23" s="16" t="s">
        <v>64</v>
      </c>
      <c r="D23" s="15" t="s">
        <v>34</v>
      </c>
      <c r="E23" s="16" t="s">
        <v>65</v>
      </c>
      <c r="F23" s="15">
        <v>1500</v>
      </c>
      <c r="G23" s="15">
        <f t="shared" si="3"/>
        <v>1467.389968</v>
      </c>
      <c r="H23" s="15">
        <v>1237.5</v>
      </c>
      <c r="I23" s="15"/>
      <c r="J23" s="15"/>
      <c r="K23" s="15">
        <f>262.5-32.610032</f>
        <v>229.889968</v>
      </c>
      <c r="L23" s="15"/>
      <c r="M23" s="29"/>
      <c r="N23" s="29">
        <v>434.594028</v>
      </c>
      <c r="O23" s="29">
        <f>434.594028+4.5+1</f>
        <v>440.094028</v>
      </c>
      <c r="P23" s="29">
        <v>436.76699</v>
      </c>
      <c r="Q23" s="29">
        <v>106.475514</v>
      </c>
      <c r="R23" s="30">
        <f>43.459408+6</f>
        <v>49.459408</v>
      </c>
      <c r="S23" s="30"/>
      <c r="T23" s="30"/>
      <c r="U23" s="30"/>
      <c r="V23" s="30"/>
      <c r="W23" s="30"/>
      <c r="X23" s="30"/>
      <c r="Y23" s="27">
        <f t="shared" si="6"/>
        <v>1467.389968</v>
      </c>
      <c r="Z23" s="49">
        <f t="shared" si="1"/>
        <v>0</v>
      </c>
      <c r="AA23" s="47">
        <f t="shared" si="2"/>
        <v>1</v>
      </c>
      <c r="AB23" s="51" t="s">
        <v>66</v>
      </c>
      <c r="AC23" s="50"/>
    </row>
    <row r="24" spans="1:29" ht="40.5" customHeight="1">
      <c r="A24" s="15">
        <v>7</v>
      </c>
      <c r="B24" s="15" t="s">
        <v>67</v>
      </c>
      <c r="C24" s="16" t="s">
        <v>68</v>
      </c>
      <c r="D24" s="15" t="s">
        <v>34</v>
      </c>
      <c r="E24" s="16" t="s">
        <v>69</v>
      </c>
      <c r="F24" s="15">
        <v>930</v>
      </c>
      <c r="G24" s="15">
        <f t="shared" si="3"/>
        <v>930</v>
      </c>
      <c r="H24" s="15">
        <v>930</v>
      </c>
      <c r="I24" s="15"/>
      <c r="J24" s="15"/>
      <c r="K24" s="15"/>
      <c r="L24" s="15"/>
      <c r="M24" s="29"/>
      <c r="N24" s="29"/>
      <c r="O24" s="29">
        <f>483.4+27.5+8</f>
        <v>518.9</v>
      </c>
      <c r="P24" s="29">
        <v>27.5</v>
      </c>
      <c r="Q24" s="30">
        <v>219.214462</v>
      </c>
      <c r="R24" s="30">
        <v>156.64</v>
      </c>
      <c r="S24" s="30"/>
      <c r="T24" s="30"/>
      <c r="U24" s="30"/>
      <c r="V24" s="30"/>
      <c r="W24" s="30"/>
      <c r="X24" s="30"/>
      <c r="Y24" s="27">
        <f t="shared" si="6"/>
        <v>922.254462</v>
      </c>
      <c r="Z24" s="49">
        <f t="shared" si="1"/>
        <v>7.7455380000000105</v>
      </c>
      <c r="AA24" s="47">
        <f t="shared" si="2"/>
        <v>0.991671464516129</v>
      </c>
      <c r="AB24" s="51" t="s">
        <v>66</v>
      </c>
      <c r="AC24" s="50"/>
    </row>
    <row r="25" spans="1:29" ht="40.5" customHeight="1">
      <c r="A25" s="15">
        <v>8</v>
      </c>
      <c r="B25" s="15" t="s">
        <v>70</v>
      </c>
      <c r="C25" s="16" t="s">
        <v>71</v>
      </c>
      <c r="D25" s="15" t="s">
        <v>34</v>
      </c>
      <c r="E25" s="16" t="s">
        <v>72</v>
      </c>
      <c r="F25" s="15">
        <v>8000</v>
      </c>
      <c r="G25" s="15">
        <f t="shared" si="3"/>
        <v>3572.2177</v>
      </c>
      <c r="H25" s="15">
        <f>4000-427.7823</f>
        <v>3572.2177</v>
      </c>
      <c r="I25" s="15"/>
      <c r="J25" s="15"/>
      <c r="K25" s="15"/>
      <c r="L25" s="15"/>
      <c r="M25" s="30"/>
      <c r="N25" s="30"/>
      <c r="O25" s="30"/>
      <c r="P25" s="30"/>
      <c r="Q25" s="30"/>
      <c r="R25" s="30">
        <v>2344.28931</v>
      </c>
      <c r="S25" s="30">
        <v>2344.28931</v>
      </c>
      <c r="T25" s="30"/>
      <c r="U25" s="30"/>
      <c r="V25" s="30"/>
      <c r="W25" s="30">
        <v>-1148.36092</v>
      </c>
      <c r="X25" s="30"/>
      <c r="Y25" s="27">
        <f t="shared" si="6"/>
        <v>3540.2177</v>
      </c>
      <c r="Z25" s="49">
        <f t="shared" si="1"/>
        <v>32</v>
      </c>
      <c r="AA25" s="47">
        <f t="shared" si="2"/>
        <v>0.9910419793284155</v>
      </c>
      <c r="AB25" s="51" t="s">
        <v>66</v>
      </c>
      <c r="AC25" s="50">
        <v>2688.57862</v>
      </c>
    </row>
    <row r="26" spans="1:29" ht="40.5" customHeight="1">
      <c r="A26" s="15">
        <v>9</v>
      </c>
      <c r="B26" s="15"/>
      <c r="C26" s="16" t="s">
        <v>73</v>
      </c>
      <c r="D26" s="15" t="s">
        <v>34</v>
      </c>
      <c r="E26" s="16" t="s">
        <v>74</v>
      </c>
      <c r="F26" s="15">
        <v>2000</v>
      </c>
      <c r="G26" s="15">
        <f t="shared" si="3"/>
        <v>6200</v>
      </c>
      <c r="H26" s="15">
        <f>3027.09+3172.91</f>
        <v>6200</v>
      </c>
      <c r="I26" s="15"/>
      <c r="J26" s="15"/>
      <c r="K26" s="15"/>
      <c r="L26" s="15"/>
      <c r="M26" s="30"/>
      <c r="N26" s="30"/>
      <c r="O26" s="30"/>
      <c r="P26" s="30"/>
      <c r="Q26" s="30"/>
      <c r="R26" s="30"/>
      <c r="S26" s="30"/>
      <c r="T26" s="30"/>
      <c r="U26" s="30"/>
      <c r="V26" s="30">
        <v>2085.9</v>
      </c>
      <c r="W26" s="30">
        <v>4096.6</v>
      </c>
      <c r="X26" s="30"/>
      <c r="Y26" s="27">
        <f t="shared" si="6"/>
        <v>6182.5</v>
      </c>
      <c r="Z26" s="49">
        <f t="shared" si="1"/>
        <v>17.5</v>
      </c>
      <c r="AA26" s="47">
        <f t="shared" si="2"/>
        <v>0.9971774193548387</v>
      </c>
      <c r="AB26" s="51" t="s">
        <v>66</v>
      </c>
      <c r="AC26" s="50"/>
    </row>
    <row r="27" spans="1:29" ht="40.5" customHeight="1">
      <c r="A27" s="15">
        <v>10</v>
      </c>
      <c r="B27" s="15" t="s">
        <v>75</v>
      </c>
      <c r="C27" s="16" t="s">
        <v>76</v>
      </c>
      <c r="D27" s="15" t="s">
        <v>34</v>
      </c>
      <c r="E27" s="16" t="s">
        <v>77</v>
      </c>
      <c r="F27" s="15">
        <v>2783</v>
      </c>
      <c r="G27" s="15">
        <f t="shared" si="3"/>
        <v>2783</v>
      </c>
      <c r="H27" s="15">
        <f aca="true" t="shared" si="7" ref="H27:X27">SUM(H28:H35)</f>
        <v>2783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66.951031</v>
      </c>
      <c r="N27" s="31">
        <f t="shared" si="7"/>
        <v>0</v>
      </c>
      <c r="O27" s="31">
        <f t="shared" si="7"/>
        <v>12.756</v>
      </c>
      <c r="P27" s="31">
        <f t="shared" si="7"/>
        <v>102.03</v>
      </c>
      <c r="Q27" s="31">
        <f t="shared" si="7"/>
        <v>573.541989</v>
      </c>
      <c r="R27" s="31">
        <f t="shared" si="7"/>
        <v>1069.16893</v>
      </c>
      <c r="S27" s="31">
        <f t="shared" si="7"/>
        <v>478.945147</v>
      </c>
      <c r="T27" s="31">
        <f t="shared" si="7"/>
        <v>53.6421</v>
      </c>
      <c r="U27" s="31">
        <f t="shared" si="7"/>
        <v>268.83696599999996</v>
      </c>
      <c r="V27" s="31">
        <f t="shared" si="7"/>
        <v>26.5169</v>
      </c>
      <c r="W27" s="31">
        <f t="shared" si="7"/>
        <v>0</v>
      </c>
      <c r="X27" s="31">
        <f t="shared" si="7"/>
        <v>0</v>
      </c>
      <c r="Y27" s="27">
        <f t="shared" si="6"/>
        <v>2585.438032</v>
      </c>
      <c r="Z27" s="49">
        <f t="shared" si="1"/>
        <v>197.56196799999998</v>
      </c>
      <c r="AA27" s="47">
        <f t="shared" si="2"/>
        <v>0.9290111505569529</v>
      </c>
      <c r="AB27" s="51" t="s">
        <v>78</v>
      </c>
      <c r="AC27" s="50"/>
    </row>
    <row r="28" spans="1:29" ht="40.5" customHeight="1">
      <c r="A28" s="15"/>
      <c r="B28" s="15"/>
      <c r="C28" s="16" t="s">
        <v>79</v>
      </c>
      <c r="D28" s="15"/>
      <c r="E28" s="16" t="s">
        <v>79</v>
      </c>
      <c r="F28" s="15"/>
      <c r="G28" s="15">
        <f t="shared" si="3"/>
        <v>330</v>
      </c>
      <c r="H28" s="15">
        <v>330</v>
      </c>
      <c r="I28" s="15"/>
      <c r="J28" s="15"/>
      <c r="K28" s="15"/>
      <c r="L28" s="15"/>
      <c r="M28" s="31"/>
      <c r="N28" s="31"/>
      <c r="O28" s="31"/>
      <c r="P28" s="31">
        <v>102.03</v>
      </c>
      <c r="Q28" s="31">
        <v>90.96</v>
      </c>
      <c r="R28" s="30">
        <v>114.92</v>
      </c>
      <c r="S28" s="38">
        <v>20.666564</v>
      </c>
      <c r="T28" s="38"/>
      <c r="U28" s="38"/>
      <c r="V28" s="38"/>
      <c r="W28" s="38"/>
      <c r="X28" s="38"/>
      <c r="Y28" s="27">
        <f t="shared" si="6"/>
        <v>328.576564</v>
      </c>
      <c r="Z28" s="49">
        <f t="shared" si="1"/>
        <v>1.423435999999981</v>
      </c>
      <c r="AA28" s="47">
        <f t="shared" si="2"/>
        <v>0.9956865575757576</v>
      </c>
      <c r="AB28" s="51"/>
      <c r="AC28" s="34"/>
    </row>
    <row r="29" spans="1:29" ht="40.5" customHeight="1">
      <c r="A29" s="15"/>
      <c r="B29" s="15"/>
      <c r="C29" s="16" t="s">
        <v>42</v>
      </c>
      <c r="D29" s="15"/>
      <c r="E29" s="16" t="s">
        <v>80</v>
      </c>
      <c r="F29" s="15"/>
      <c r="G29" s="15">
        <f t="shared" si="3"/>
        <v>480</v>
      </c>
      <c r="H29" s="15">
        <v>480</v>
      </c>
      <c r="I29" s="15"/>
      <c r="J29" s="15"/>
      <c r="K29" s="15"/>
      <c r="L29" s="15"/>
      <c r="M29" s="30"/>
      <c r="N29" s="30"/>
      <c r="O29" s="30"/>
      <c r="P29" s="30"/>
      <c r="Q29" s="30"/>
      <c r="R29" s="30">
        <f>7.8681+18.123+133.3448</f>
        <v>159.33589999999998</v>
      </c>
      <c r="S29" s="38">
        <v>133.3448</v>
      </c>
      <c r="T29" s="38"/>
      <c r="U29" s="38">
        <v>143.1948</v>
      </c>
      <c r="V29" s="38"/>
      <c r="W29" s="38"/>
      <c r="X29" s="38"/>
      <c r="Y29" s="27">
        <f t="shared" si="6"/>
        <v>435.8755</v>
      </c>
      <c r="Z29" s="49">
        <f t="shared" si="1"/>
        <v>44.12450000000001</v>
      </c>
      <c r="AA29" s="47">
        <f t="shared" si="2"/>
        <v>0.9080739583333333</v>
      </c>
      <c r="AB29" s="51"/>
      <c r="AC29" s="34"/>
    </row>
    <row r="30" spans="1:29" ht="40.5" customHeight="1">
      <c r="A30" s="15"/>
      <c r="B30" s="15"/>
      <c r="C30" s="16" t="s">
        <v>43</v>
      </c>
      <c r="D30" s="15"/>
      <c r="E30" s="16" t="s">
        <v>81</v>
      </c>
      <c r="F30" s="15"/>
      <c r="G30" s="15">
        <f t="shared" si="3"/>
        <v>330</v>
      </c>
      <c r="H30" s="15">
        <v>330</v>
      </c>
      <c r="I30" s="15"/>
      <c r="J30" s="15"/>
      <c r="K30" s="15"/>
      <c r="L30" s="15"/>
      <c r="M30" s="30"/>
      <c r="N30" s="30"/>
      <c r="O30" s="30"/>
      <c r="P30" s="30"/>
      <c r="Q30" s="30">
        <v>88.36736</v>
      </c>
      <c r="R30" s="30">
        <f>2.3934+99.87166</f>
        <v>102.26506</v>
      </c>
      <c r="S30" s="38">
        <v>103.70996</v>
      </c>
      <c r="T30" s="38"/>
      <c r="U30" s="38">
        <v>14.72789</v>
      </c>
      <c r="V30" s="38"/>
      <c r="W30" s="38"/>
      <c r="X30" s="38"/>
      <c r="Y30" s="27">
        <f t="shared" si="6"/>
        <v>309.07027000000005</v>
      </c>
      <c r="Z30" s="49">
        <f t="shared" si="1"/>
        <v>20.92972999999995</v>
      </c>
      <c r="AA30" s="47">
        <f t="shared" si="2"/>
        <v>0.9365765757575759</v>
      </c>
      <c r="AB30" s="51"/>
      <c r="AC30" s="34"/>
    </row>
    <row r="31" spans="1:29" ht="40.5" customHeight="1">
      <c r="A31" s="15"/>
      <c r="B31" s="15"/>
      <c r="C31" s="16" t="s">
        <v>45</v>
      </c>
      <c r="D31" s="15"/>
      <c r="E31" s="16" t="s">
        <v>82</v>
      </c>
      <c r="F31" s="15"/>
      <c r="G31" s="15">
        <f t="shared" si="3"/>
        <v>390</v>
      </c>
      <c r="H31" s="15">
        <v>390</v>
      </c>
      <c r="I31" s="15"/>
      <c r="J31" s="15"/>
      <c r="K31" s="15"/>
      <c r="L31" s="15"/>
      <c r="M31" s="30"/>
      <c r="N31" s="30"/>
      <c r="O31" s="30"/>
      <c r="P31" s="30"/>
      <c r="Q31" s="30">
        <v>107.2842</v>
      </c>
      <c r="R31" s="30">
        <v>125.2204</v>
      </c>
      <c r="S31" s="38">
        <v>82.5346</v>
      </c>
      <c r="T31" s="30">
        <v>53.6421</v>
      </c>
      <c r="U31" s="38"/>
      <c r="V31" s="38"/>
      <c r="W31" s="38"/>
      <c r="X31" s="38"/>
      <c r="Y31" s="27">
        <f t="shared" si="6"/>
        <v>368.68129999999996</v>
      </c>
      <c r="Z31" s="49">
        <f t="shared" si="1"/>
        <v>21.318700000000035</v>
      </c>
      <c r="AA31" s="47">
        <f t="shared" si="2"/>
        <v>0.9453366666666666</v>
      </c>
      <c r="AB31" s="51"/>
      <c r="AC31" s="34"/>
    </row>
    <row r="32" spans="1:29" ht="40.5" customHeight="1">
      <c r="A32" s="15"/>
      <c r="B32" s="15"/>
      <c r="C32" s="16" t="s">
        <v>46</v>
      </c>
      <c r="D32" s="15"/>
      <c r="E32" s="16" t="s">
        <v>83</v>
      </c>
      <c r="F32" s="15"/>
      <c r="G32" s="15">
        <f t="shared" si="3"/>
        <v>390</v>
      </c>
      <c r="H32" s="15">
        <v>390</v>
      </c>
      <c r="I32" s="15"/>
      <c r="J32" s="15"/>
      <c r="K32" s="15"/>
      <c r="L32" s="15"/>
      <c r="M32" s="30">
        <v>26.5169</v>
      </c>
      <c r="N32" s="30"/>
      <c r="O32" s="30"/>
      <c r="P32" s="30"/>
      <c r="Q32" s="30">
        <v>112.3616</v>
      </c>
      <c r="R32" s="30">
        <v>187.26932</v>
      </c>
      <c r="S32" s="38"/>
      <c r="T32" s="38"/>
      <c r="U32" s="38">
        <v>46.458503</v>
      </c>
      <c r="V32" s="38">
        <v>26.5169</v>
      </c>
      <c r="W32" s="38"/>
      <c r="X32" s="38"/>
      <c r="Y32" s="27">
        <f t="shared" si="6"/>
        <v>372.60632300000003</v>
      </c>
      <c r="Z32" s="49">
        <f t="shared" si="1"/>
        <v>17.39367699999997</v>
      </c>
      <c r="AA32" s="47">
        <f t="shared" si="2"/>
        <v>0.9554008282051283</v>
      </c>
      <c r="AB32" s="51"/>
      <c r="AC32" s="34"/>
    </row>
    <row r="33" spans="1:29" ht="40.5" customHeight="1">
      <c r="A33" s="15"/>
      <c r="B33" s="15"/>
      <c r="C33" s="16" t="s">
        <v>47</v>
      </c>
      <c r="D33" s="15"/>
      <c r="E33" s="16" t="s">
        <v>84</v>
      </c>
      <c r="F33" s="15"/>
      <c r="G33" s="15">
        <f t="shared" si="3"/>
        <v>283</v>
      </c>
      <c r="H33" s="15">
        <v>283</v>
      </c>
      <c r="I33" s="15"/>
      <c r="J33" s="15"/>
      <c r="K33" s="15"/>
      <c r="L33" s="15"/>
      <c r="M33" s="30"/>
      <c r="N33" s="30"/>
      <c r="O33" s="30"/>
      <c r="P33" s="30"/>
      <c r="Q33" s="30">
        <v>95.673029</v>
      </c>
      <c r="R33" s="30">
        <f>128.73425+2.549</f>
        <v>131.28325</v>
      </c>
      <c r="S33" s="38"/>
      <c r="T33" s="38"/>
      <c r="U33" s="38">
        <f>25.74685+12.87345</f>
        <v>38.6203</v>
      </c>
      <c r="V33" s="38"/>
      <c r="W33" s="38"/>
      <c r="X33" s="38"/>
      <c r="Y33" s="27">
        <f t="shared" si="6"/>
        <v>265.576579</v>
      </c>
      <c r="Z33" s="49">
        <f t="shared" si="1"/>
        <v>17.42342100000002</v>
      </c>
      <c r="AA33" s="47">
        <f t="shared" si="2"/>
        <v>0.9384331413427561</v>
      </c>
      <c r="AB33" s="51"/>
      <c r="AC33" s="34"/>
    </row>
    <row r="34" spans="1:29" ht="40.5" customHeight="1">
      <c r="A34" s="15"/>
      <c r="B34" s="15"/>
      <c r="C34" s="16" t="s">
        <v>85</v>
      </c>
      <c r="D34" s="15"/>
      <c r="E34" s="16" t="s">
        <v>85</v>
      </c>
      <c r="F34" s="15"/>
      <c r="G34" s="15">
        <f t="shared" si="3"/>
        <v>300</v>
      </c>
      <c r="H34" s="15">
        <v>300</v>
      </c>
      <c r="I34" s="15"/>
      <c r="J34" s="15"/>
      <c r="K34" s="15"/>
      <c r="L34" s="15"/>
      <c r="M34" s="30">
        <v>22.3493</v>
      </c>
      <c r="N34" s="30"/>
      <c r="O34" s="30">
        <v>12.756</v>
      </c>
      <c r="P34" s="30"/>
      <c r="Q34" s="30">
        <v>78.8958</v>
      </c>
      <c r="R34" s="30">
        <f>75.2958+7.1663+25.0986</f>
        <v>107.5607</v>
      </c>
      <c r="S34" s="38">
        <v>52.4972</v>
      </c>
      <c r="T34" s="38"/>
      <c r="U34" s="38"/>
      <c r="V34" s="38"/>
      <c r="W34" s="38"/>
      <c r="X34" s="38"/>
      <c r="Y34" s="27">
        <f t="shared" si="6"/>
        <v>251.70969999999997</v>
      </c>
      <c r="Z34" s="49">
        <f t="shared" si="1"/>
        <v>48.29030000000003</v>
      </c>
      <c r="AA34" s="47">
        <f t="shared" si="2"/>
        <v>0.8390323333333333</v>
      </c>
      <c r="AB34" s="51"/>
      <c r="AC34" s="34"/>
    </row>
    <row r="35" spans="1:29" ht="40.5" customHeight="1">
      <c r="A35" s="15"/>
      <c r="B35" s="15"/>
      <c r="C35" s="16" t="s">
        <v>49</v>
      </c>
      <c r="D35" s="15"/>
      <c r="E35" s="16" t="s">
        <v>86</v>
      </c>
      <c r="F35" s="15"/>
      <c r="G35" s="15">
        <f t="shared" si="3"/>
        <v>280</v>
      </c>
      <c r="H35" s="15">
        <v>280</v>
      </c>
      <c r="I35" s="15"/>
      <c r="J35" s="15"/>
      <c r="K35" s="15"/>
      <c r="L35" s="15"/>
      <c r="M35" s="30">
        <v>18.084831</v>
      </c>
      <c r="N35" s="30"/>
      <c r="O35" s="30"/>
      <c r="P35" s="30"/>
      <c r="Q35" s="30"/>
      <c r="R35" s="30">
        <f>12.2+129.1143</f>
        <v>141.31429999999997</v>
      </c>
      <c r="S35" s="38">
        <f>6.718+79.474023</f>
        <v>86.192023</v>
      </c>
      <c r="T35" s="38"/>
      <c r="U35" s="38">
        <f>25.835473</f>
        <v>25.835473</v>
      </c>
      <c r="V35" s="38"/>
      <c r="W35" s="38"/>
      <c r="X35" s="38"/>
      <c r="Y35" s="27">
        <f t="shared" si="6"/>
        <v>253.341796</v>
      </c>
      <c r="Z35" s="49">
        <f t="shared" si="1"/>
        <v>26.658204000000012</v>
      </c>
      <c r="AA35" s="47">
        <f t="shared" si="2"/>
        <v>0.9047921285714285</v>
      </c>
      <c r="AB35" s="51"/>
      <c r="AC35" s="34"/>
    </row>
    <row r="36" spans="1:29" ht="40.5" customHeight="1">
      <c r="A36" s="15">
        <v>11</v>
      </c>
      <c r="B36" s="15" t="s">
        <v>87</v>
      </c>
      <c r="C36" s="16" t="s">
        <v>88</v>
      </c>
      <c r="D36" s="15" t="s">
        <v>34</v>
      </c>
      <c r="E36" s="16" t="s">
        <v>89</v>
      </c>
      <c r="F36" s="15">
        <v>1000</v>
      </c>
      <c r="G36" s="15">
        <f t="shared" si="3"/>
        <v>1253.67</v>
      </c>
      <c r="H36" s="15">
        <f>500+23+307+92.08+331.59</f>
        <v>1253.67</v>
      </c>
      <c r="I36" s="15"/>
      <c r="J36" s="15"/>
      <c r="K36" s="15"/>
      <c r="L36" s="15"/>
      <c r="M36" s="30"/>
      <c r="N36" s="30"/>
      <c r="O36" s="30">
        <v>344.692354</v>
      </c>
      <c r="P36" s="30"/>
      <c r="Q36" s="30"/>
      <c r="R36" s="30">
        <v>240.984803</v>
      </c>
      <c r="S36" s="38"/>
      <c r="T36" s="38"/>
      <c r="U36" s="38">
        <v>307.392208</v>
      </c>
      <c r="V36" s="38"/>
      <c r="W36" s="38"/>
      <c r="X36" s="38"/>
      <c r="Y36" s="27">
        <f t="shared" si="6"/>
        <v>893.0693650000001</v>
      </c>
      <c r="Z36" s="49">
        <f t="shared" si="1"/>
        <v>360.600635</v>
      </c>
      <c r="AA36" s="47">
        <f t="shared" si="2"/>
        <v>0.7123639913214801</v>
      </c>
      <c r="AB36" s="51" t="s">
        <v>90</v>
      </c>
      <c r="AC36" s="50"/>
    </row>
    <row r="37" spans="1:29" ht="40.5" customHeight="1">
      <c r="A37" s="15">
        <v>12</v>
      </c>
      <c r="B37" s="15" t="s">
        <v>91</v>
      </c>
      <c r="C37" s="16" t="s">
        <v>92</v>
      </c>
      <c r="D37" s="15" t="s">
        <v>34</v>
      </c>
      <c r="E37" s="16" t="s">
        <v>93</v>
      </c>
      <c r="F37" s="15">
        <v>17500</v>
      </c>
      <c r="G37" s="15">
        <f t="shared" si="3"/>
        <v>17332.516048</v>
      </c>
      <c r="H37" s="15">
        <f>5172.035+280-108-688.57862+11181.16+688.57862-328+900+235.321048</f>
        <v>17332.516048</v>
      </c>
      <c r="I37" s="15"/>
      <c r="J37" s="15"/>
      <c r="K37" s="15"/>
      <c r="L37" s="15"/>
      <c r="M37" s="29">
        <v>1200</v>
      </c>
      <c r="N37" s="29"/>
      <c r="O37" s="29"/>
      <c r="P37" s="29"/>
      <c r="Q37" s="29"/>
      <c r="R37" s="29">
        <v>5.58</v>
      </c>
      <c r="S37" s="29">
        <v>35</v>
      </c>
      <c r="T37" s="29">
        <v>6825.985574</v>
      </c>
      <c r="U37" s="29">
        <v>8500</v>
      </c>
      <c r="V37" s="38">
        <f>1194.5475+27.44</f>
        <v>1221.9875</v>
      </c>
      <c r="W37" s="29"/>
      <c r="X37" s="29"/>
      <c r="Y37" s="27">
        <f t="shared" si="6"/>
        <v>16588.553074</v>
      </c>
      <c r="Z37" s="49">
        <f t="shared" si="1"/>
        <v>743.9629740000019</v>
      </c>
      <c r="AA37" s="47">
        <f t="shared" si="2"/>
        <v>0.9570770353282986</v>
      </c>
      <c r="AB37" s="51" t="s">
        <v>94</v>
      </c>
      <c r="AC37" s="50"/>
    </row>
    <row r="38" spans="1:29" ht="40.5" customHeight="1">
      <c r="A38" s="15">
        <v>13</v>
      </c>
      <c r="B38" s="15" t="s">
        <v>95</v>
      </c>
      <c r="C38" s="16" t="s">
        <v>96</v>
      </c>
      <c r="D38" s="15" t="s">
        <v>34</v>
      </c>
      <c r="E38" s="16" t="s">
        <v>97</v>
      </c>
      <c r="F38" s="15">
        <v>1336</v>
      </c>
      <c r="G38" s="15">
        <f t="shared" si="3"/>
        <v>1332.330126</v>
      </c>
      <c r="H38" s="15">
        <f>SUM(H39:H42)-3.669874</f>
        <v>1332.330126</v>
      </c>
      <c r="I38" s="15">
        <f aca="true" t="shared" si="8" ref="I38:Y38">SUM(I39:I42)</f>
        <v>0</v>
      </c>
      <c r="J38" s="15">
        <f t="shared" si="8"/>
        <v>0</v>
      </c>
      <c r="K38" s="15">
        <f t="shared" si="8"/>
        <v>0</v>
      </c>
      <c r="L38" s="15">
        <f t="shared" si="8"/>
        <v>0</v>
      </c>
      <c r="M38" s="15">
        <f t="shared" si="8"/>
        <v>54.422588999999995</v>
      </c>
      <c r="N38" s="15">
        <f t="shared" si="8"/>
        <v>0</v>
      </c>
      <c r="O38" s="15">
        <f t="shared" si="8"/>
        <v>0</v>
      </c>
      <c r="P38" s="15">
        <f t="shared" si="8"/>
        <v>0</v>
      </c>
      <c r="Q38" s="15">
        <f t="shared" si="8"/>
        <v>0</v>
      </c>
      <c r="R38" s="15">
        <f t="shared" si="8"/>
        <v>755.7954689999999</v>
      </c>
      <c r="S38" s="15">
        <f t="shared" si="8"/>
        <v>220.98475</v>
      </c>
      <c r="T38" s="15">
        <f t="shared" si="8"/>
        <v>13.4895</v>
      </c>
      <c r="U38" s="15">
        <f t="shared" si="8"/>
        <v>191.045405</v>
      </c>
      <c r="V38" s="15">
        <f t="shared" si="8"/>
        <v>25.428739999999998</v>
      </c>
      <c r="W38" s="15">
        <f t="shared" si="8"/>
        <v>0</v>
      </c>
      <c r="X38" s="15">
        <f t="shared" si="8"/>
        <v>0</v>
      </c>
      <c r="Y38" s="51">
        <f t="shared" si="8"/>
        <v>1206.743864</v>
      </c>
      <c r="Z38" s="49">
        <f t="shared" si="1"/>
        <v>125.58626200000003</v>
      </c>
      <c r="AA38" s="47">
        <f t="shared" si="2"/>
        <v>0.9057393812920507</v>
      </c>
      <c r="AB38" s="51" t="s">
        <v>98</v>
      </c>
      <c r="AC38" s="50"/>
    </row>
    <row r="39" spans="1:29" ht="40.5" customHeight="1">
      <c r="A39" s="15"/>
      <c r="B39" s="15"/>
      <c r="C39" s="16" t="s">
        <v>46</v>
      </c>
      <c r="D39" s="15"/>
      <c r="E39" s="16"/>
      <c r="F39" s="15"/>
      <c r="G39" s="15">
        <f t="shared" si="3"/>
        <v>160</v>
      </c>
      <c r="H39" s="15">
        <v>160</v>
      </c>
      <c r="I39" s="15"/>
      <c r="J39" s="15"/>
      <c r="K39" s="15"/>
      <c r="L39" s="15"/>
      <c r="M39" s="29">
        <v>8.77913</v>
      </c>
      <c r="N39" s="29"/>
      <c r="O39" s="29"/>
      <c r="P39" s="29"/>
      <c r="Q39" s="29"/>
      <c r="R39" s="29">
        <f>44.99881+43.89541</f>
        <v>88.89421999999999</v>
      </c>
      <c r="S39" s="29"/>
      <c r="T39" s="29"/>
      <c r="U39" s="29">
        <v>46.35541</v>
      </c>
      <c r="V39" s="38">
        <v>8.77913</v>
      </c>
      <c r="W39" s="29"/>
      <c r="X39" s="29"/>
      <c r="Y39" s="27">
        <f aca="true" t="shared" si="9" ref="Y39:Y44">SUM(N39:X39)</f>
        <v>144.02876</v>
      </c>
      <c r="Z39" s="49">
        <f t="shared" si="1"/>
        <v>15.971239999999995</v>
      </c>
      <c r="AA39" s="47">
        <f t="shared" si="2"/>
        <v>0.9001797500000001</v>
      </c>
      <c r="AB39" s="51"/>
      <c r="AC39" s="34"/>
    </row>
    <row r="40" spans="1:29" ht="40.5" customHeight="1">
      <c r="A40" s="15"/>
      <c r="B40" s="15"/>
      <c r="C40" s="16" t="s">
        <v>48</v>
      </c>
      <c r="D40" s="15"/>
      <c r="E40" s="16"/>
      <c r="F40" s="15"/>
      <c r="G40" s="15">
        <f t="shared" si="3"/>
        <v>398</v>
      </c>
      <c r="H40" s="15">
        <v>398</v>
      </c>
      <c r="I40" s="15"/>
      <c r="J40" s="15"/>
      <c r="K40" s="15"/>
      <c r="L40" s="15"/>
      <c r="M40" s="29">
        <v>25.694644</v>
      </c>
      <c r="N40" s="29"/>
      <c r="O40" s="29"/>
      <c r="P40" s="29"/>
      <c r="Q40" s="29"/>
      <c r="R40" s="29">
        <f>115.087+113.087</f>
        <v>228.174</v>
      </c>
      <c r="S40" s="29">
        <v>119.3517</v>
      </c>
      <c r="T40" s="29"/>
      <c r="U40" s="29">
        <v>18.8478</v>
      </c>
      <c r="V40" s="29"/>
      <c r="W40" s="29"/>
      <c r="X40" s="29"/>
      <c r="Y40" s="27">
        <f t="shared" si="9"/>
        <v>366.37350000000004</v>
      </c>
      <c r="Z40" s="49">
        <f t="shared" si="1"/>
        <v>31.626499999999965</v>
      </c>
      <c r="AA40" s="47">
        <f t="shared" si="2"/>
        <v>0.9205364321608042</v>
      </c>
      <c r="AB40" s="51"/>
      <c r="AC40" s="34"/>
    </row>
    <row r="41" spans="1:29" ht="40.5" customHeight="1">
      <c r="A41" s="15"/>
      <c r="B41" s="15"/>
      <c r="C41" s="16" t="s">
        <v>49</v>
      </c>
      <c r="D41" s="15"/>
      <c r="E41" s="16"/>
      <c r="F41" s="15"/>
      <c r="G41" s="15">
        <f t="shared" si="3"/>
        <v>398</v>
      </c>
      <c r="H41" s="15">
        <v>398</v>
      </c>
      <c r="I41" s="15"/>
      <c r="J41" s="15"/>
      <c r="K41" s="15"/>
      <c r="L41" s="15"/>
      <c r="M41" s="29">
        <v>10.048815</v>
      </c>
      <c r="N41" s="29"/>
      <c r="O41" s="29"/>
      <c r="P41" s="29"/>
      <c r="Q41" s="29"/>
      <c r="R41" s="29">
        <v>170.1201</v>
      </c>
      <c r="S41" s="29">
        <v>101.63305</v>
      </c>
      <c r="T41" s="29"/>
      <c r="U41" s="29">
        <f>33.49605+16.748025</f>
        <v>50.244074999999995</v>
      </c>
      <c r="V41" s="38">
        <v>6.69921</v>
      </c>
      <c r="W41" s="29"/>
      <c r="X41" s="29"/>
      <c r="Y41" s="27">
        <f t="shared" si="9"/>
        <v>328.696435</v>
      </c>
      <c r="Z41" s="49">
        <f t="shared" si="1"/>
        <v>69.30356499999999</v>
      </c>
      <c r="AA41" s="47">
        <f t="shared" si="2"/>
        <v>0.8258704396984925</v>
      </c>
      <c r="AB41" s="51"/>
      <c r="AC41" s="34"/>
    </row>
    <row r="42" spans="1:29" ht="40.5" customHeight="1">
      <c r="A42" s="15"/>
      <c r="B42" s="15"/>
      <c r="C42" s="16" t="s">
        <v>50</v>
      </c>
      <c r="D42" s="15"/>
      <c r="E42" s="16"/>
      <c r="F42" s="15"/>
      <c r="G42" s="15">
        <f t="shared" si="3"/>
        <v>380</v>
      </c>
      <c r="H42" s="15">
        <v>380</v>
      </c>
      <c r="I42" s="15"/>
      <c r="J42" s="15"/>
      <c r="K42" s="15"/>
      <c r="L42" s="15"/>
      <c r="M42" s="29">
        <v>9.9</v>
      </c>
      <c r="N42" s="29"/>
      <c r="O42" s="29"/>
      <c r="P42" s="29"/>
      <c r="Q42" s="29"/>
      <c r="R42" s="29">
        <f>99.504839+169.10231</f>
        <v>268.607149</v>
      </c>
      <c r="S42" s="29"/>
      <c r="T42" s="29">
        <v>13.4895</v>
      </c>
      <c r="U42" s="29">
        <v>75.59812</v>
      </c>
      <c r="V42" s="38">
        <v>9.9504</v>
      </c>
      <c r="W42" s="29"/>
      <c r="X42" s="29"/>
      <c r="Y42" s="27">
        <f t="shared" si="9"/>
        <v>367.645169</v>
      </c>
      <c r="Z42" s="49">
        <f t="shared" si="1"/>
        <v>12.35483099999999</v>
      </c>
      <c r="AA42" s="47">
        <f t="shared" si="2"/>
        <v>0.9674872868421053</v>
      </c>
      <c r="AB42" s="51"/>
      <c r="AC42" s="34"/>
    </row>
    <row r="43" spans="1:29" ht="40.5" customHeight="1">
      <c r="A43" s="15">
        <v>14</v>
      </c>
      <c r="B43" s="15" t="s">
        <v>99</v>
      </c>
      <c r="C43" s="16" t="s">
        <v>100</v>
      </c>
      <c r="D43" s="15" t="s">
        <v>101</v>
      </c>
      <c r="E43" s="16" t="s">
        <v>102</v>
      </c>
      <c r="F43" s="15">
        <v>1504.8</v>
      </c>
      <c r="G43" s="15">
        <f t="shared" si="3"/>
        <v>1504.8</v>
      </c>
      <c r="H43" s="15">
        <v>1504.8</v>
      </c>
      <c r="I43" s="15"/>
      <c r="J43" s="15"/>
      <c r="K43" s="15"/>
      <c r="L43" s="15"/>
      <c r="M43" s="29">
        <v>125.4</v>
      </c>
      <c r="N43" s="29"/>
      <c r="O43" s="29">
        <v>376.2</v>
      </c>
      <c r="P43" s="29">
        <v>125.4</v>
      </c>
      <c r="Q43" s="29">
        <v>125.4</v>
      </c>
      <c r="R43" s="29">
        <v>125.4</v>
      </c>
      <c r="S43" s="29">
        <f>125.4+125.4</f>
        <v>250.8</v>
      </c>
      <c r="T43" s="29"/>
      <c r="U43" s="29">
        <f>125.4+125.4</f>
        <v>250.8</v>
      </c>
      <c r="V43" s="38">
        <v>125.4</v>
      </c>
      <c r="W43" s="29">
        <v>125.4</v>
      </c>
      <c r="X43" s="29"/>
      <c r="Y43" s="27">
        <f t="shared" si="9"/>
        <v>1504.8000000000002</v>
      </c>
      <c r="Z43" s="49">
        <f t="shared" si="1"/>
        <v>0</v>
      </c>
      <c r="AA43" s="47">
        <f t="shared" si="2"/>
        <v>1.0000000000000002</v>
      </c>
      <c r="AB43" s="51" t="s">
        <v>79</v>
      </c>
      <c r="AC43" s="50"/>
    </row>
    <row r="44" spans="1:29" ht="40.5" customHeight="1">
      <c r="A44" s="15">
        <v>15</v>
      </c>
      <c r="B44" s="15" t="s">
        <v>103</v>
      </c>
      <c r="C44" s="16" t="s">
        <v>104</v>
      </c>
      <c r="D44" s="15" t="s">
        <v>34</v>
      </c>
      <c r="E44" s="16" t="s">
        <v>105</v>
      </c>
      <c r="F44" s="15">
        <v>4300</v>
      </c>
      <c r="G44" s="15">
        <f t="shared" si="3"/>
        <v>4500</v>
      </c>
      <c r="H44" s="15">
        <f>4300+200</f>
        <v>4500</v>
      </c>
      <c r="I44" s="15"/>
      <c r="J44" s="15"/>
      <c r="K44" s="15"/>
      <c r="L44" s="15"/>
      <c r="M44" s="29">
        <v>500</v>
      </c>
      <c r="N44" s="29"/>
      <c r="O44" s="29"/>
      <c r="P44" s="29"/>
      <c r="Q44" s="29"/>
      <c r="R44" s="29">
        <f>9.6+6</f>
        <v>15.6</v>
      </c>
      <c r="S44" s="29"/>
      <c r="T44" s="29"/>
      <c r="U44" s="29">
        <f>1232.379439+1870.334613</f>
        <v>3102.7140520000003</v>
      </c>
      <c r="V44" s="29">
        <v>300.506366</v>
      </c>
      <c r="W44" s="29"/>
      <c r="X44" s="29"/>
      <c r="Y44" s="27">
        <f t="shared" si="9"/>
        <v>3418.8204180000002</v>
      </c>
      <c r="Z44" s="49">
        <f t="shared" si="1"/>
        <v>1081.1795819999998</v>
      </c>
      <c r="AA44" s="47">
        <f t="shared" si="2"/>
        <v>0.7597378706666668</v>
      </c>
      <c r="AB44" s="51" t="s">
        <v>98</v>
      </c>
      <c r="AC44" s="50"/>
    </row>
    <row r="45" spans="1:29" ht="40.5" customHeight="1">
      <c r="A45" s="15">
        <v>16</v>
      </c>
      <c r="B45" s="15" t="s">
        <v>106</v>
      </c>
      <c r="C45" s="16" t="s">
        <v>107</v>
      </c>
      <c r="D45" s="15" t="s">
        <v>108</v>
      </c>
      <c r="E45" s="16" t="s">
        <v>109</v>
      </c>
      <c r="F45" s="15">
        <v>11012.615</v>
      </c>
      <c r="G45" s="15">
        <f t="shared" si="3"/>
        <v>6725.705032</v>
      </c>
      <c r="H45" s="15">
        <f aca="true" t="shared" si="10" ref="H45:Y45">SUM(H46:H56)</f>
        <v>4331.925</v>
      </c>
      <c r="I45" s="32">
        <f>2043.75+290.43+8.46+18.53</f>
        <v>2361.17</v>
      </c>
      <c r="J45" s="15">
        <f t="shared" si="10"/>
        <v>0</v>
      </c>
      <c r="K45" s="15">
        <f t="shared" si="10"/>
        <v>32.610032</v>
      </c>
      <c r="L45" s="15">
        <f t="shared" si="10"/>
        <v>0</v>
      </c>
      <c r="M45" s="15">
        <f t="shared" si="10"/>
        <v>555.9621450000001</v>
      </c>
      <c r="N45" s="15">
        <f t="shared" si="10"/>
        <v>0</v>
      </c>
      <c r="O45" s="15">
        <f t="shared" si="10"/>
        <v>0</v>
      </c>
      <c r="P45" s="15">
        <f t="shared" si="10"/>
        <v>0</v>
      </c>
      <c r="Q45" s="15">
        <f t="shared" si="10"/>
        <v>0</v>
      </c>
      <c r="R45" s="15">
        <f t="shared" si="10"/>
        <v>495.917949</v>
      </c>
      <c r="S45" s="15">
        <f t="shared" si="10"/>
        <v>2170.2091589999995</v>
      </c>
      <c r="T45" s="15">
        <f t="shared" si="10"/>
        <v>647.7392609999999</v>
      </c>
      <c r="U45" s="15">
        <f t="shared" si="10"/>
        <v>1758.825243</v>
      </c>
      <c r="V45" s="15">
        <f t="shared" si="10"/>
        <v>500.640732</v>
      </c>
      <c r="W45" s="15">
        <f t="shared" si="10"/>
        <v>51.8093</v>
      </c>
      <c r="X45" s="15">
        <f t="shared" si="10"/>
        <v>0</v>
      </c>
      <c r="Y45" s="15">
        <f t="shared" si="10"/>
        <v>5625.141643999999</v>
      </c>
      <c r="Z45" s="49">
        <f t="shared" si="1"/>
        <v>1100.5633880000005</v>
      </c>
      <c r="AA45" s="47">
        <f t="shared" si="2"/>
        <v>0.8363646067194936</v>
      </c>
      <c r="AB45" s="51" t="s">
        <v>110</v>
      </c>
      <c r="AC45" s="35"/>
    </row>
    <row r="46" spans="1:29" ht="40.5" customHeight="1">
      <c r="A46" s="15"/>
      <c r="B46" s="15"/>
      <c r="C46" s="16" t="s">
        <v>41</v>
      </c>
      <c r="D46" s="15"/>
      <c r="E46" s="16"/>
      <c r="F46" s="15"/>
      <c r="G46" s="15">
        <f t="shared" si="3"/>
        <v>985.8421</v>
      </c>
      <c r="H46" s="15">
        <f>162.75+75+249.2021</f>
        <v>486.9521</v>
      </c>
      <c r="I46" s="15">
        <f>200+298.89</f>
        <v>498.89</v>
      </c>
      <c r="J46" s="15"/>
      <c r="K46" s="15"/>
      <c r="L46" s="15"/>
      <c r="M46" s="29">
        <v>260</v>
      </c>
      <c r="N46" s="29"/>
      <c r="O46" s="29"/>
      <c r="P46" s="29"/>
      <c r="Q46" s="29"/>
      <c r="R46" s="29">
        <f>0.7+8.973+16.7956</f>
        <v>26.468600000000002</v>
      </c>
      <c r="S46" s="29">
        <v>355.90897</v>
      </c>
      <c r="T46" s="29">
        <v>122.949</v>
      </c>
      <c r="U46" s="29">
        <f>196.2231+17.69</f>
        <v>213.9131</v>
      </c>
      <c r="V46" s="38">
        <v>264.357587</v>
      </c>
      <c r="W46" s="29"/>
      <c r="X46" s="29"/>
      <c r="Y46" s="27">
        <f aca="true" t="shared" si="11" ref="Y46:Y81">SUM(N46:X46)</f>
        <v>983.5972569999999</v>
      </c>
      <c r="Z46" s="49">
        <f t="shared" si="1"/>
        <v>2.24484300000006</v>
      </c>
      <c r="AA46" s="47">
        <f t="shared" si="2"/>
        <v>0.9977229183050713</v>
      </c>
      <c r="AB46" s="51"/>
      <c r="AC46" s="34"/>
    </row>
    <row r="47" spans="1:29" ht="40.5" customHeight="1">
      <c r="A47" s="15"/>
      <c r="B47" s="15"/>
      <c r="C47" s="16" t="s">
        <v>42</v>
      </c>
      <c r="D47" s="15"/>
      <c r="E47" s="16"/>
      <c r="F47" s="15">
        <f>1292.230653+404.262064</f>
        <v>1696.492717</v>
      </c>
      <c r="G47" s="15">
        <f t="shared" si="3"/>
        <v>1621.1049209999999</v>
      </c>
      <c r="H47" s="15">
        <f>58.1+1161.864889+280</f>
        <v>1499.9648889999999</v>
      </c>
      <c r="I47" s="15">
        <f>70+18.53</f>
        <v>88.53</v>
      </c>
      <c r="J47" s="15"/>
      <c r="K47" s="15">
        <v>32.610032</v>
      </c>
      <c r="L47" s="15"/>
      <c r="M47" s="29">
        <v>121.8</v>
      </c>
      <c r="N47" s="29"/>
      <c r="O47" s="29"/>
      <c r="P47" s="29"/>
      <c r="Q47" s="29"/>
      <c r="R47" s="29">
        <v>7.644767</v>
      </c>
      <c r="S47" s="29">
        <v>75.976176</v>
      </c>
      <c r="T47" s="29">
        <f>44.479057</f>
        <v>44.479057</v>
      </c>
      <c r="U47" s="29">
        <f>527.140603+514.70449</f>
        <v>1041.845093</v>
      </c>
      <c r="V47" s="38">
        <f>114.785473+7.5</f>
        <v>122.285473</v>
      </c>
      <c r="W47" s="29"/>
      <c r="X47" s="29"/>
      <c r="Y47" s="27">
        <f t="shared" si="11"/>
        <v>1292.2305659999997</v>
      </c>
      <c r="Z47" s="49">
        <f t="shared" si="1"/>
        <v>328.87435500000015</v>
      </c>
      <c r="AA47" s="47">
        <f t="shared" si="2"/>
        <v>0.797129506708838</v>
      </c>
      <c r="AB47" s="51"/>
      <c r="AC47" s="34"/>
    </row>
    <row r="48" spans="1:29" ht="40.5" customHeight="1">
      <c r="A48" s="15"/>
      <c r="B48" s="15"/>
      <c r="C48" s="16" t="s">
        <v>44</v>
      </c>
      <c r="D48" s="15"/>
      <c r="E48" s="16"/>
      <c r="F48" s="15"/>
      <c r="G48" s="15">
        <f t="shared" si="3"/>
        <v>619.88</v>
      </c>
      <c r="H48" s="15">
        <f>159.88+300</f>
        <v>459.88</v>
      </c>
      <c r="I48" s="15">
        <v>160</v>
      </c>
      <c r="J48" s="15"/>
      <c r="K48" s="15"/>
      <c r="L48" s="15"/>
      <c r="M48" s="29">
        <v>30.793441</v>
      </c>
      <c r="N48" s="29"/>
      <c r="O48" s="29"/>
      <c r="P48" s="29"/>
      <c r="Q48" s="29"/>
      <c r="R48" s="29">
        <f>13.185+22.5</f>
        <v>35.685</v>
      </c>
      <c r="S48" s="29">
        <v>465.519946</v>
      </c>
      <c r="T48" s="29">
        <v>25.559444</v>
      </c>
      <c r="U48" s="29">
        <v>22.617436</v>
      </c>
      <c r="V48" s="29"/>
      <c r="W48" s="29"/>
      <c r="X48" s="29"/>
      <c r="Y48" s="27">
        <f t="shared" si="11"/>
        <v>549.381826</v>
      </c>
      <c r="Z48" s="49">
        <f t="shared" si="1"/>
        <v>70.49817399999995</v>
      </c>
      <c r="AA48" s="47">
        <f t="shared" si="2"/>
        <v>0.886271255726915</v>
      </c>
      <c r="AB48" s="51"/>
      <c r="AC48" s="34"/>
    </row>
    <row r="49" spans="1:29" ht="40.5" customHeight="1">
      <c r="A49" s="15"/>
      <c r="B49" s="15"/>
      <c r="C49" s="16" t="s">
        <v>45</v>
      </c>
      <c r="D49" s="15"/>
      <c r="E49" s="16"/>
      <c r="F49" s="15"/>
      <c r="G49" s="15">
        <f t="shared" si="3"/>
        <v>605.8080110000001</v>
      </c>
      <c r="H49" s="15">
        <f>155.875+200+49.933011</f>
        <v>405.808011</v>
      </c>
      <c r="I49" s="15">
        <v>200</v>
      </c>
      <c r="J49" s="15"/>
      <c r="K49" s="15"/>
      <c r="L49" s="15"/>
      <c r="M49" s="29">
        <f>6.57897+28.1162</f>
        <v>34.69517</v>
      </c>
      <c r="N49" s="29"/>
      <c r="O49" s="29"/>
      <c r="P49" s="29"/>
      <c r="Q49" s="29"/>
      <c r="R49" s="29">
        <f>3.5+13.077</f>
        <v>16.576999999999998</v>
      </c>
      <c r="S49" s="29">
        <f>131.69373+30.9968</f>
        <v>162.69053</v>
      </c>
      <c r="T49" s="29">
        <f>188.491988+14.79174</f>
        <v>203.283728</v>
      </c>
      <c r="U49" s="29">
        <f>35.283349+2.5</f>
        <v>37.783349</v>
      </c>
      <c r="V49" s="38">
        <v>34.69517</v>
      </c>
      <c r="W49" s="29"/>
      <c r="X49" s="29"/>
      <c r="Y49" s="27">
        <f t="shared" si="11"/>
        <v>455.02977699999997</v>
      </c>
      <c r="Z49" s="49">
        <f t="shared" si="1"/>
        <v>150.7782340000001</v>
      </c>
      <c r="AA49" s="47">
        <f t="shared" si="2"/>
        <v>0.7511121819747608</v>
      </c>
      <c r="AB49" s="51"/>
      <c r="AC49" s="34"/>
    </row>
    <row r="50" spans="1:29" ht="40.5" customHeight="1">
      <c r="A50" s="15"/>
      <c r="B50" s="15"/>
      <c r="C50" s="16" t="s">
        <v>46</v>
      </c>
      <c r="D50" s="15"/>
      <c r="E50" s="16"/>
      <c r="F50" s="15"/>
      <c r="G50" s="15">
        <f t="shared" si="3"/>
        <v>133.32</v>
      </c>
      <c r="H50" s="15">
        <v>63.32</v>
      </c>
      <c r="I50" s="15">
        <v>70</v>
      </c>
      <c r="J50" s="15"/>
      <c r="K50" s="15"/>
      <c r="L50" s="15"/>
      <c r="M50" s="29"/>
      <c r="N50" s="29"/>
      <c r="O50" s="29"/>
      <c r="P50" s="29"/>
      <c r="Q50" s="29"/>
      <c r="R50" s="29">
        <f>10.726+4</f>
        <v>14.726</v>
      </c>
      <c r="S50" s="29"/>
      <c r="T50" s="29"/>
      <c r="U50" s="29"/>
      <c r="V50" s="29"/>
      <c r="W50" s="29"/>
      <c r="X50" s="29"/>
      <c r="Y50" s="27">
        <f t="shared" si="11"/>
        <v>14.726</v>
      </c>
      <c r="Z50" s="49">
        <f t="shared" si="1"/>
        <v>118.594</v>
      </c>
      <c r="AA50" s="47">
        <f t="shared" si="2"/>
        <v>0.11045604560456047</v>
      </c>
      <c r="AB50" s="51"/>
      <c r="AC50" s="34"/>
    </row>
    <row r="51" spans="1:29" ht="40.5" customHeight="1">
      <c r="A51" s="15"/>
      <c r="B51" s="15"/>
      <c r="C51" s="16" t="s">
        <v>47</v>
      </c>
      <c r="D51" s="15"/>
      <c r="E51" s="16"/>
      <c r="F51" s="15"/>
      <c r="G51" s="15">
        <f t="shared" si="3"/>
        <v>484.9</v>
      </c>
      <c r="H51" s="15">
        <v>184.9</v>
      </c>
      <c r="I51" s="15">
        <v>300</v>
      </c>
      <c r="J51" s="15"/>
      <c r="K51" s="15"/>
      <c r="L51" s="15"/>
      <c r="M51" s="29">
        <v>14</v>
      </c>
      <c r="N51" s="29"/>
      <c r="O51" s="29"/>
      <c r="P51" s="29"/>
      <c r="Q51" s="29"/>
      <c r="R51" s="29">
        <f>6.8+18.3247+30.5411</f>
        <v>55.665800000000004</v>
      </c>
      <c r="S51" s="29">
        <v>230.9992</v>
      </c>
      <c r="T51" s="29"/>
      <c r="U51" s="29">
        <v>21.5581</v>
      </c>
      <c r="V51" s="38">
        <v>15.0907</v>
      </c>
      <c r="W51" s="29"/>
      <c r="X51" s="29"/>
      <c r="Y51" s="27">
        <f t="shared" si="11"/>
        <v>323.31380000000007</v>
      </c>
      <c r="Z51" s="49">
        <f t="shared" si="1"/>
        <v>161.5861999999999</v>
      </c>
      <c r="AA51" s="47">
        <f t="shared" si="2"/>
        <v>0.666763868838936</v>
      </c>
      <c r="AB51" s="51"/>
      <c r="AC51" s="34"/>
    </row>
    <row r="52" spans="1:29" ht="40.5" customHeight="1">
      <c r="A52" s="15"/>
      <c r="B52" s="15"/>
      <c r="C52" s="16" t="s">
        <v>48</v>
      </c>
      <c r="D52" s="15"/>
      <c r="E52" s="16"/>
      <c r="F52" s="15"/>
      <c r="G52" s="15">
        <f t="shared" si="3"/>
        <v>207.89</v>
      </c>
      <c r="H52" s="15">
        <v>57.89</v>
      </c>
      <c r="I52" s="15">
        <v>150</v>
      </c>
      <c r="J52" s="15"/>
      <c r="K52" s="15"/>
      <c r="L52" s="15"/>
      <c r="M52" s="29">
        <v>3.354899</v>
      </c>
      <c r="N52" s="29"/>
      <c r="O52" s="29"/>
      <c r="P52" s="29"/>
      <c r="Q52" s="29"/>
      <c r="R52" s="29">
        <f>1.85+52.55393+33.90262</f>
        <v>88.30655</v>
      </c>
      <c r="S52" s="29">
        <v>72.2592</v>
      </c>
      <c r="T52" s="29"/>
      <c r="U52" s="29">
        <v>8.3949</v>
      </c>
      <c r="V52" s="29"/>
      <c r="W52" s="29"/>
      <c r="X52" s="29"/>
      <c r="Y52" s="27">
        <f t="shared" si="11"/>
        <v>168.96065000000002</v>
      </c>
      <c r="Z52" s="49">
        <f t="shared" si="1"/>
        <v>38.92934999999997</v>
      </c>
      <c r="AA52" s="47">
        <f t="shared" si="2"/>
        <v>0.8127406320650346</v>
      </c>
      <c r="AB52" s="51"/>
      <c r="AC52" s="34"/>
    </row>
    <row r="53" spans="1:29" ht="40.5" customHeight="1">
      <c r="A53" s="15"/>
      <c r="B53" s="15"/>
      <c r="C53" s="16" t="s">
        <v>49</v>
      </c>
      <c r="D53" s="15"/>
      <c r="E53" s="16"/>
      <c r="F53" s="15"/>
      <c r="G53" s="15">
        <f t="shared" si="3"/>
        <v>852</v>
      </c>
      <c r="H53" s="15">
        <v>352</v>
      </c>
      <c r="I53" s="15">
        <v>500</v>
      </c>
      <c r="J53" s="15"/>
      <c r="K53" s="15"/>
      <c r="L53" s="15"/>
      <c r="M53" s="29">
        <v>22.762035</v>
      </c>
      <c r="N53" s="29"/>
      <c r="O53" s="29"/>
      <c r="P53" s="29"/>
      <c r="Q53" s="29"/>
      <c r="R53" s="29">
        <v>28.2</v>
      </c>
      <c r="S53" s="29">
        <v>597.971648</v>
      </c>
      <c r="T53" s="29"/>
      <c r="U53" s="29">
        <f>35.323577+37.417094+9.39837+6.26558+36.384969+9.39837+4.699185</f>
        <v>138.88714499999998</v>
      </c>
      <c r="V53" s="38">
        <v>15.174692</v>
      </c>
      <c r="W53" s="29"/>
      <c r="X53" s="29"/>
      <c r="Y53" s="27">
        <f t="shared" si="11"/>
        <v>780.233485</v>
      </c>
      <c r="Z53" s="49">
        <f t="shared" si="1"/>
        <v>71.76651500000003</v>
      </c>
      <c r="AA53" s="47">
        <f t="shared" si="2"/>
        <v>0.9157670011737089</v>
      </c>
      <c r="AB53" s="51"/>
      <c r="AC53" s="34"/>
    </row>
    <row r="54" spans="1:29" ht="40.5" customHeight="1">
      <c r="A54" s="15"/>
      <c r="B54" s="15"/>
      <c r="C54" s="16" t="s">
        <v>50</v>
      </c>
      <c r="D54" s="15"/>
      <c r="E54" s="16"/>
      <c r="F54" s="15"/>
      <c r="G54" s="15">
        <f t="shared" si="3"/>
        <v>304.8</v>
      </c>
      <c r="H54" s="15">
        <v>154.8</v>
      </c>
      <c r="I54" s="15">
        <v>150</v>
      </c>
      <c r="J54" s="15"/>
      <c r="K54" s="15"/>
      <c r="L54" s="15"/>
      <c r="M54" s="29">
        <v>10.7</v>
      </c>
      <c r="N54" s="29"/>
      <c r="O54" s="29"/>
      <c r="P54" s="29"/>
      <c r="Q54" s="29"/>
      <c r="R54" s="29">
        <f>5.1+124.7088</f>
        <v>129.8088</v>
      </c>
      <c r="S54" s="29">
        <v>88.41993</v>
      </c>
      <c r="T54" s="29"/>
      <c r="U54" s="29">
        <f>49.40602+2.4458</f>
        <v>51.85182</v>
      </c>
      <c r="V54" s="38">
        <v>18.53825</v>
      </c>
      <c r="W54" s="29"/>
      <c r="X54" s="29"/>
      <c r="Y54" s="27">
        <f t="shared" si="11"/>
        <v>288.61879999999996</v>
      </c>
      <c r="Z54" s="49">
        <f t="shared" si="1"/>
        <v>16.181200000000047</v>
      </c>
      <c r="AA54" s="47">
        <f t="shared" si="2"/>
        <v>0.9469120734908135</v>
      </c>
      <c r="AB54" s="51"/>
      <c r="AC54" s="34"/>
    </row>
    <row r="55" spans="1:29" ht="40.5" customHeight="1">
      <c r="A55" s="15"/>
      <c r="B55" s="15"/>
      <c r="C55" s="16" t="s">
        <v>51</v>
      </c>
      <c r="D55" s="15"/>
      <c r="E55" s="16"/>
      <c r="F55" s="15"/>
      <c r="G55" s="15">
        <f t="shared" si="3"/>
        <v>688.36</v>
      </c>
      <c r="H55" s="15">
        <f>198.36+290</f>
        <v>488.36</v>
      </c>
      <c r="I55" s="15">
        <v>200</v>
      </c>
      <c r="J55" s="15"/>
      <c r="K55" s="15"/>
      <c r="L55" s="15"/>
      <c r="M55" s="29">
        <f>19.2933+21.9633</f>
        <v>41.2566</v>
      </c>
      <c r="N55" s="29"/>
      <c r="O55" s="29"/>
      <c r="P55" s="29"/>
      <c r="Q55" s="29"/>
      <c r="R55" s="29">
        <f>2.48+16.7</f>
        <v>19.18</v>
      </c>
      <c r="S55" s="29">
        <f>78.9914</f>
        <v>78.9914</v>
      </c>
      <c r="T55" s="29">
        <f>82.6858+15.1368+131.6524</f>
        <v>229.475</v>
      </c>
      <c r="U55" s="29">
        <v>221.9743</v>
      </c>
      <c r="V55" s="38">
        <v>21.9633</v>
      </c>
      <c r="W55" s="29">
        <v>51.8093</v>
      </c>
      <c r="X55" s="29"/>
      <c r="Y55" s="27">
        <f t="shared" si="11"/>
        <v>623.3933</v>
      </c>
      <c r="Z55" s="49">
        <f t="shared" si="1"/>
        <v>64.96670000000006</v>
      </c>
      <c r="AA55" s="47">
        <f t="shared" si="2"/>
        <v>0.9056210413155906</v>
      </c>
      <c r="AB55" s="52"/>
      <c r="AC55" s="51"/>
    </row>
    <row r="56" spans="1:29" ht="40.5" customHeight="1">
      <c r="A56" s="15"/>
      <c r="B56" s="15"/>
      <c r="C56" s="16" t="s">
        <v>52</v>
      </c>
      <c r="D56" s="15"/>
      <c r="E56" s="16"/>
      <c r="F56" s="15"/>
      <c r="G56" s="15">
        <f t="shared" si="3"/>
        <v>221.8</v>
      </c>
      <c r="H56" s="15">
        <f>43.05+135</f>
        <v>178.05</v>
      </c>
      <c r="I56" s="15">
        <v>43.75</v>
      </c>
      <c r="J56" s="15"/>
      <c r="K56" s="15"/>
      <c r="L56" s="15"/>
      <c r="M56" s="29">
        <f>8.1+8.5</f>
        <v>16.6</v>
      </c>
      <c r="N56" s="29"/>
      <c r="O56" s="29"/>
      <c r="P56" s="29"/>
      <c r="Q56" s="29"/>
      <c r="R56" s="29">
        <f>27.180432+12.521+19.68+14.274</f>
        <v>73.65543199999999</v>
      </c>
      <c r="S56" s="29">
        <f>25.1639+16.308259</f>
        <v>41.472159000000005</v>
      </c>
      <c r="T56" s="29">
        <v>21.993032</v>
      </c>
      <c r="U56" s="29"/>
      <c r="V56" s="29">
        <v>8.53556</v>
      </c>
      <c r="W56" s="29"/>
      <c r="X56" s="29"/>
      <c r="Y56" s="27">
        <f t="shared" si="11"/>
        <v>145.656183</v>
      </c>
      <c r="Z56" s="49">
        <f t="shared" si="1"/>
        <v>76.14381700000001</v>
      </c>
      <c r="AA56" s="47">
        <f t="shared" si="2"/>
        <v>0.656700554553652</v>
      </c>
      <c r="AB56" s="51" t="s">
        <v>111</v>
      </c>
      <c r="AC56" s="34"/>
    </row>
    <row r="57" spans="1:29" ht="40.5" customHeight="1">
      <c r="A57" s="15">
        <v>17</v>
      </c>
      <c r="B57" s="15" t="s">
        <v>112</v>
      </c>
      <c r="C57" s="16" t="s">
        <v>113</v>
      </c>
      <c r="D57" s="15" t="s">
        <v>108</v>
      </c>
      <c r="E57" s="16" t="s">
        <v>114</v>
      </c>
      <c r="F57" s="15">
        <v>1790.37</v>
      </c>
      <c r="G57" s="15">
        <f t="shared" si="3"/>
        <v>2149.37</v>
      </c>
      <c r="H57" s="15">
        <f>1790.37+867-508</f>
        <v>2149.37</v>
      </c>
      <c r="I57" s="15"/>
      <c r="J57" s="15"/>
      <c r="K57" s="15"/>
      <c r="L57" s="15"/>
      <c r="M57" s="29">
        <v>570</v>
      </c>
      <c r="N57" s="29"/>
      <c r="O57" s="29"/>
      <c r="P57" s="29"/>
      <c r="Q57" s="29"/>
      <c r="R57" s="29">
        <f>8.97+127.60333+44.04346</f>
        <v>180.61679</v>
      </c>
      <c r="S57" s="29">
        <v>441.08645</v>
      </c>
      <c r="T57" s="29">
        <v>60.6212</v>
      </c>
      <c r="U57" s="29">
        <f>1072.0534-489.3746+182.9993+20.25+30.37</f>
        <v>816.2981000000001</v>
      </c>
      <c r="V57" s="38">
        <v>327.92874</v>
      </c>
      <c r="W57" s="29"/>
      <c r="X57" s="29"/>
      <c r="Y57" s="27">
        <f t="shared" si="11"/>
        <v>1826.5512800000004</v>
      </c>
      <c r="Z57" s="49">
        <f t="shared" si="1"/>
        <v>322.81871999999953</v>
      </c>
      <c r="AA57" s="47">
        <f t="shared" si="2"/>
        <v>0.8498077483169489</v>
      </c>
      <c r="AB57" s="51" t="s">
        <v>110</v>
      </c>
      <c r="AC57" s="50"/>
    </row>
    <row r="58" spans="1:29" ht="40.5" customHeight="1">
      <c r="A58" s="15">
        <v>18</v>
      </c>
      <c r="B58" s="15" t="s">
        <v>115</v>
      </c>
      <c r="C58" s="16" t="s">
        <v>116</v>
      </c>
      <c r="D58" s="15" t="s">
        <v>108</v>
      </c>
      <c r="E58" s="16" t="s">
        <v>117</v>
      </c>
      <c r="F58" s="15">
        <v>1983.51</v>
      </c>
      <c r="G58" s="15">
        <f t="shared" si="3"/>
        <v>1467.511714</v>
      </c>
      <c r="H58" s="15">
        <f>1983.51-515.998286</f>
        <v>1467.511714</v>
      </c>
      <c r="I58" s="15"/>
      <c r="J58" s="15"/>
      <c r="K58" s="15"/>
      <c r="L58" s="15"/>
      <c r="M58" s="29">
        <f>42.8095+10.6</f>
        <v>53.4095</v>
      </c>
      <c r="N58" s="29"/>
      <c r="O58" s="29"/>
      <c r="P58" s="29"/>
      <c r="Q58" s="29"/>
      <c r="R58" s="29">
        <f>13.08+154.15825+83.056018</f>
        <v>250.29426800000002</v>
      </c>
      <c r="S58" s="29">
        <v>267.9237</v>
      </c>
      <c r="T58" s="29"/>
      <c r="U58" s="29">
        <f>497.738388+153.376466</f>
        <v>651.1148539999999</v>
      </c>
      <c r="V58" s="38">
        <v>42.8095</v>
      </c>
      <c r="W58" s="29">
        <v>74.0359</v>
      </c>
      <c r="X58" s="29"/>
      <c r="Y58" s="27">
        <f t="shared" si="11"/>
        <v>1286.178222</v>
      </c>
      <c r="Z58" s="49">
        <f t="shared" si="1"/>
        <v>181.33349199999998</v>
      </c>
      <c r="AA58" s="47">
        <f t="shared" si="2"/>
        <v>0.8764347226191886</v>
      </c>
      <c r="AB58" s="51" t="s">
        <v>110</v>
      </c>
      <c r="AC58" s="50"/>
    </row>
    <row r="59" spans="1:29" ht="40.5" customHeight="1">
      <c r="A59" s="15">
        <v>19</v>
      </c>
      <c r="B59" s="15" t="s">
        <v>118</v>
      </c>
      <c r="C59" s="16" t="s">
        <v>119</v>
      </c>
      <c r="D59" s="15" t="s">
        <v>120</v>
      </c>
      <c r="E59" s="16" t="s">
        <v>121</v>
      </c>
      <c r="F59" s="15">
        <v>2100</v>
      </c>
      <c r="G59" s="15">
        <f t="shared" si="3"/>
        <v>2472</v>
      </c>
      <c r="H59" s="15">
        <f>2100+450.3-78.3</f>
        <v>2472</v>
      </c>
      <c r="I59" s="15"/>
      <c r="J59" s="15"/>
      <c r="K59" s="15"/>
      <c r="L59" s="15"/>
      <c r="M59" s="29">
        <v>130</v>
      </c>
      <c r="N59" s="29"/>
      <c r="O59" s="29"/>
      <c r="P59" s="29">
        <f>431.4+221.4-0.9</f>
        <v>651.9</v>
      </c>
      <c r="Q59" s="29">
        <v>106.5</v>
      </c>
      <c r="R59" s="29">
        <v>24</v>
      </c>
      <c r="S59" s="29">
        <v>431.4</v>
      </c>
      <c r="T59" s="29">
        <f>-431.4+332.1</f>
        <v>-99.29999999999995</v>
      </c>
      <c r="U59" s="29">
        <f>371.7+397.8+531.3</f>
        <v>1300.8</v>
      </c>
      <c r="V59" s="38">
        <f>51.3+5.4</f>
        <v>56.699999999999996</v>
      </c>
      <c r="W59" s="29"/>
      <c r="X59" s="29"/>
      <c r="Y59" s="27">
        <f t="shared" si="11"/>
        <v>2472</v>
      </c>
      <c r="Z59" s="49">
        <f t="shared" si="1"/>
        <v>0</v>
      </c>
      <c r="AA59" s="47">
        <f t="shared" si="2"/>
        <v>1</v>
      </c>
      <c r="AB59" s="51" t="s">
        <v>122</v>
      </c>
      <c r="AC59" s="50"/>
    </row>
    <row r="60" spans="1:29" ht="40.5" customHeight="1">
      <c r="A60" s="15">
        <v>20</v>
      </c>
      <c r="B60" s="15" t="s">
        <v>123</v>
      </c>
      <c r="C60" s="16" t="s">
        <v>124</v>
      </c>
      <c r="D60" s="15" t="s">
        <v>120</v>
      </c>
      <c r="E60" s="16" t="s">
        <v>125</v>
      </c>
      <c r="F60" s="15">
        <v>380.16</v>
      </c>
      <c r="G60" s="15">
        <f t="shared" si="3"/>
        <v>380.16</v>
      </c>
      <c r="H60" s="15">
        <v>380.16</v>
      </c>
      <c r="I60" s="15"/>
      <c r="J60" s="15"/>
      <c r="K60" s="15"/>
      <c r="L60" s="15"/>
      <c r="M60" s="29"/>
      <c r="N60" s="29"/>
      <c r="O60" s="29"/>
      <c r="P60" s="29"/>
      <c r="Q60" s="29"/>
      <c r="R60" s="29">
        <v>380.16</v>
      </c>
      <c r="S60" s="29"/>
      <c r="T60" s="29"/>
      <c r="U60" s="29"/>
      <c r="V60" s="29"/>
      <c r="W60" s="29"/>
      <c r="X60" s="29"/>
      <c r="Y60" s="27">
        <f t="shared" si="11"/>
        <v>380.16</v>
      </c>
      <c r="Z60" s="49">
        <f t="shared" si="1"/>
        <v>0</v>
      </c>
      <c r="AA60" s="47">
        <f t="shared" si="2"/>
        <v>1</v>
      </c>
      <c r="AB60" s="51" t="s">
        <v>126</v>
      </c>
      <c r="AC60" s="50"/>
    </row>
    <row r="61" spans="1:29" ht="40.5" customHeight="1">
      <c r="A61" s="15">
        <v>21</v>
      </c>
      <c r="B61" s="18" t="s">
        <v>127</v>
      </c>
      <c r="C61" s="19" t="s">
        <v>128</v>
      </c>
      <c r="D61" s="19" t="s">
        <v>34</v>
      </c>
      <c r="E61" s="20" t="s">
        <v>129</v>
      </c>
      <c r="F61" s="19">
        <v>1000</v>
      </c>
      <c r="G61" s="15">
        <f t="shared" si="3"/>
        <v>948.8</v>
      </c>
      <c r="H61" s="19">
        <f>1000-51.2</f>
        <v>948.8</v>
      </c>
      <c r="I61" s="19"/>
      <c r="J61" s="19"/>
      <c r="K61" s="19"/>
      <c r="L61" s="19"/>
      <c r="M61" s="29">
        <v>281.64</v>
      </c>
      <c r="N61" s="29"/>
      <c r="O61" s="29"/>
      <c r="P61" s="29"/>
      <c r="Q61" s="29"/>
      <c r="R61" s="29"/>
      <c r="S61" s="29"/>
      <c r="T61" s="29"/>
      <c r="U61" s="29">
        <v>281.64</v>
      </c>
      <c r="V61" s="29"/>
      <c r="W61" s="29"/>
      <c r="X61" s="29"/>
      <c r="Y61" s="27">
        <f t="shared" si="11"/>
        <v>281.64</v>
      </c>
      <c r="Z61" s="49">
        <f t="shared" si="1"/>
        <v>667.16</v>
      </c>
      <c r="AA61" s="47">
        <f t="shared" si="2"/>
        <v>0.2968381112984823</v>
      </c>
      <c r="AB61" s="51" t="s">
        <v>130</v>
      </c>
      <c r="AC61" s="53"/>
    </row>
    <row r="62" spans="1:29" ht="40.5" customHeight="1">
      <c r="A62" s="15">
        <v>22</v>
      </c>
      <c r="B62" s="18" t="s">
        <v>131</v>
      </c>
      <c r="C62" s="19" t="s">
        <v>132</v>
      </c>
      <c r="D62" s="19" t="s">
        <v>101</v>
      </c>
      <c r="E62" s="20" t="s">
        <v>133</v>
      </c>
      <c r="F62" s="19">
        <v>259.2</v>
      </c>
      <c r="G62" s="15">
        <f t="shared" si="3"/>
        <v>259.2</v>
      </c>
      <c r="H62" s="19">
        <v>259.2</v>
      </c>
      <c r="I62" s="19"/>
      <c r="J62" s="19"/>
      <c r="K62" s="19"/>
      <c r="L62" s="19"/>
      <c r="M62" s="29">
        <v>51.84</v>
      </c>
      <c r="N62" s="29"/>
      <c r="O62" s="29"/>
      <c r="P62" s="29"/>
      <c r="Q62" s="29"/>
      <c r="R62" s="29"/>
      <c r="S62" s="29"/>
      <c r="T62" s="29"/>
      <c r="U62" s="29">
        <f aca="true" t="shared" si="12" ref="U62:X62">SUM(U63:U74)</f>
        <v>155.51999999999998</v>
      </c>
      <c r="V62" s="38">
        <f t="shared" si="12"/>
        <v>38.23200000000001</v>
      </c>
      <c r="W62" s="38">
        <f t="shared" si="12"/>
        <v>47.304000000000016</v>
      </c>
      <c r="X62" s="38">
        <f t="shared" si="12"/>
        <v>0</v>
      </c>
      <c r="Y62" s="27">
        <f t="shared" si="11"/>
        <v>241.05600000000004</v>
      </c>
      <c r="Z62" s="49">
        <f t="shared" si="1"/>
        <v>18.14399999999995</v>
      </c>
      <c r="AA62" s="47">
        <f t="shared" si="2"/>
        <v>0.9300000000000002</v>
      </c>
      <c r="AB62" s="51" t="s">
        <v>110</v>
      </c>
      <c r="AC62" s="53"/>
    </row>
    <row r="63" spans="1:29" ht="40.5" customHeight="1">
      <c r="A63" s="15"/>
      <c r="B63" s="18"/>
      <c r="C63" s="19" t="s">
        <v>41</v>
      </c>
      <c r="D63" s="19"/>
      <c r="E63" s="20"/>
      <c r="F63" s="19">
        <v>19</v>
      </c>
      <c r="G63" s="15">
        <f t="shared" si="3"/>
        <v>15.39</v>
      </c>
      <c r="H63" s="19">
        <v>15.39</v>
      </c>
      <c r="I63" s="19"/>
      <c r="J63" s="19"/>
      <c r="K63" s="19"/>
      <c r="L63" s="19"/>
      <c r="M63" s="29">
        <f aca="true" t="shared" si="13" ref="M63:M74">F63*1620/10000</f>
        <v>3.078</v>
      </c>
      <c r="N63" s="29"/>
      <c r="O63" s="29"/>
      <c r="P63" s="29"/>
      <c r="Q63" s="29"/>
      <c r="R63" s="29"/>
      <c r="S63" s="29"/>
      <c r="T63" s="29"/>
      <c r="U63" s="29">
        <v>9.234</v>
      </c>
      <c r="V63" s="29">
        <v>3.078</v>
      </c>
      <c r="W63" s="29">
        <v>3.078</v>
      </c>
      <c r="X63" s="29"/>
      <c r="Y63" s="27">
        <f t="shared" si="11"/>
        <v>15.389999999999999</v>
      </c>
      <c r="Z63" s="49">
        <f t="shared" si="1"/>
        <v>0</v>
      </c>
      <c r="AA63" s="47">
        <f t="shared" si="2"/>
        <v>0.9999999999999999</v>
      </c>
      <c r="AB63" s="51"/>
      <c r="AC63" s="51"/>
    </row>
    <row r="64" spans="1:29" ht="40.5" customHeight="1">
      <c r="A64" s="15"/>
      <c r="B64" s="18"/>
      <c r="C64" s="19" t="s">
        <v>42</v>
      </c>
      <c r="D64" s="19"/>
      <c r="E64" s="20"/>
      <c r="F64" s="19">
        <v>27</v>
      </c>
      <c r="G64" s="15">
        <f t="shared" si="3"/>
        <v>21.87</v>
      </c>
      <c r="H64" s="19">
        <v>21.87</v>
      </c>
      <c r="I64" s="19"/>
      <c r="J64" s="19"/>
      <c r="K64" s="19"/>
      <c r="L64" s="19"/>
      <c r="M64" s="29">
        <f t="shared" si="13"/>
        <v>4.374</v>
      </c>
      <c r="N64" s="29"/>
      <c r="O64" s="29"/>
      <c r="P64" s="29"/>
      <c r="Q64" s="29"/>
      <c r="R64" s="29"/>
      <c r="S64" s="29"/>
      <c r="T64" s="29"/>
      <c r="U64" s="29">
        <v>13.122</v>
      </c>
      <c r="V64" s="29">
        <v>4.374</v>
      </c>
      <c r="W64" s="29">
        <v>4.374</v>
      </c>
      <c r="X64" s="29"/>
      <c r="Y64" s="27">
        <f t="shared" si="11"/>
        <v>21.869999999999997</v>
      </c>
      <c r="Z64" s="49">
        <f t="shared" si="1"/>
        <v>0</v>
      </c>
      <c r="AA64" s="47">
        <f t="shared" si="2"/>
        <v>0.9999999999999999</v>
      </c>
      <c r="AB64" s="51"/>
      <c r="AC64" s="51"/>
    </row>
    <row r="65" spans="1:29" ht="40.5" customHeight="1">
      <c r="A65" s="15"/>
      <c r="B65" s="18"/>
      <c r="C65" s="19" t="s">
        <v>43</v>
      </c>
      <c r="D65" s="19"/>
      <c r="E65" s="20"/>
      <c r="F65" s="19">
        <v>38</v>
      </c>
      <c r="G65" s="15">
        <f t="shared" si="3"/>
        <v>30.78</v>
      </c>
      <c r="H65" s="19">
        <v>30.78</v>
      </c>
      <c r="I65" s="19"/>
      <c r="J65" s="19"/>
      <c r="K65" s="19"/>
      <c r="L65" s="19"/>
      <c r="M65" s="29">
        <f t="shared" si="13"/>
        <v>6.156</v>
      </c>
      <c r="N65" s="29"/>
      <c r="O65" s="29"/>
      <c r="P65" s="29"/>
      <c r="Q65" s="29"/>
      <c r="R65" s="29"/>
      <c r="S65" s="29"/>
      <c r="T65" s="29"/>
      <c r="U65" s="29">
        <v>18.468</v>
      </c>
      <c r="V65" s="29">
        <v>6.156</v>
      </c>
      <c r="W65" s="29">
        <v>6.156</v>
      </c>
      <c r="X65" s="29"/>
      <c r="Y65" s="27">
        <f t="shared" si="11"/>
        <v>30.779999999999998</v>
      </c>
      <c r="Z65" s="49">
        <f t="shared" si="1"/>
        <v>0</v>
      </c>
      <c r="AA65" s="47">
        <f t="shared" si="2"/>
        <v>0.9999999999999999</v>
      </c>
      <c r="AB65" s="51"/>
      <c r="AC65" s="51"/>
    </row>
    <row r="66" spans="1:29" ht="40.5" customHeight="1">
      <c r="A66" s="15"/>
      <c r="B66" s="18"/>
      <c r="C66" s="19" t="s">
        <v>44</v>
      </c>
      <c r="D66" s="19"/>
      <c r="E66" s="20"/>
      <c r="F66" s="19">
        <v>36</v>
      </c>
      <c r="G66" s="15">
        <f t="shared" si="3"/>
        <v>29.16</v>
      </c>
      <c r="H66" s="19">
        <v>29.16</v>
      </c>
      <c r="I66" s="19"/>
      <c r="J66" s="19"/>
      <c r="K66" s="19"/>
      <c r="L66" s="19"/>
      <c r="M66" s="29">
        <f t="shared" si="13"/>
        <v>5.832</v>
      </c>
      <c r="N66" s="29"/>
      <c r="O66" s="29"/>
      <c r="P66" s="29"/>
      <c r="Q66" s="29"/>
      <c r="R66" s="29"/>
      <c r="S66" s="29"/>
      <c r="T66" s="29"/>
      <c r="U66" s="29">
        <v>17.496</v>
      </c>
      <c r="V66" s="29">
        <v>5.832</v>
      </c>
      <c r="W66" s="29">
        <v>5.832</v>
      </c>
      <c r="X66" s="29"/>
      <c r="Y66" s="27">
        <f t="shared" si="11"/>
        <v>29.16</v>
      </c>
      <c r="Z66" s="49">
        <f t="shared" si="1"/>
        <v>0</v>
      </c>
      <c r="AA66" s="47">
        <f t="shared" si="2"/>
        <v>1</v>
      </c>
      <c r="AB66" s="51"/>
      <c r="AC66" s="51"/>
    </row>
    <row r="67" spans="1:29" ht="40.5" customHeight="1">
      <c r="A67" s="15"/>
      <c r="B67" s="18"/>
      <c r="C67" s="19" t="s">
        <v>45</v>
      </c>
      <c r="D67" s="19"/>
      <c r="E67" s="20"/>
      <c r="F67" s="19">
        <v>21</v>
      </c>
      <c r="G67" s="15">
        <f t="shared" si="3"/>
        <v>17.01</v>
      </c>
      <c r="H67" s="19">
        <v>17.01</v>
      </c>
      <c r="I67" s="19"/>
      <c r="J67" s="19"/>
      <c r="K67" s="19"/>
      <c r="L67" s="19"/>
      <c r="M67" s="29">
        <f t="shared" si="13"/>
        <v>3.402</v>
      </c>
      <c r="N67" s="29"/>
      <c r="O67" s="29"/>
      <c r="P67" s="29"/>
      <c r="Q67" s="29"/>
      <c r="R67" s="29"/>
      <c r="S67" s="29"/>
      <c r="T67" s="29"/>
      <c r="U67" s="29">
        <v>10.206</v>
      </c>
      <c r="V67" s="29">
        <v>3.402</v>
      </c>
      <c r="W67" s="29">
        <v>3.402</v>
      </c>
      <c r="X67" s="29"/>
      <c r="Y67" s="27">
        <f t="shared" si="11"/>
        <v>17.01</v>
      </c>
      <c r="Z67" s="49">
        <f t="shared" si="1"/>
        <v>0</v>
      </c>
      <c r="AA67" s="47">
        <f t="shared" si="2"/>
        <v>1</v>
      </c>
      <c r="AB67" s="51"/>
      <c r="AC67" s="51"/>
    </row>
    <row r="68" spans="1:29" ht="40.5" customHeight="1">
      <c r="A68" s="15"/>
      <c r="B68" s="18"/>
      <c r="C68" s="19" t="s">
        <v>46</v>
      </c>
      <c r="D68" s="19"/>
      <c r="E68" s="20"/>
      <c r="F68" s="19">
        <v>22</v>
      </c>
      <c r="G68" s="15">
        <f t="shared" si="3"/>
        <v>17.82</v>
      </c>
      <c r="H68" s="19">
        <v>17.82</v>
      </c>
      <c r="I68" s="19"/>
      <c r="J68" s="19"/>
      <c r="K68" s="19"/>
      <c r="L68" s="19"/>
      <c r="M68" s="29">
        <f t="shared" si="13"/>
        <v>3.564</v>
      </c>
      <c r="N68" s="29"/>
      <c r="O68" s="29"/>
      <c r="P68" s="29"/>
      <c r="Q68" s="29"/>
      <c r="R68" s="29"/>
      <c r="S68" s="29"/>
      <c r="T68" s="29"/>
      <c r="U68" s="29">
        <v>10.692</v>
      </c>
      <c r="V68" s="29">
        <v>3.564</v>
      </c>
      <c r="W68" s="29">
        <v>3.564</v>
      </c>
      <c r="X68" s="29"/>
      <c r="Y68" s="27">
        <f t="shared" si="11"/>
        <v>17.82</v>
      </c>
      <c r="Z68" s="49">
        <f t="shared" si="1"/>
        <v>0</v>
      </c>
      <c r="AA68" s="47">
        <f t="shared" si="2"/>
        <v>1</v>
      </c>
      <c r="AB68" s="51"/>
      <c r="AC68" s="51"/>
    </row>
    <row r="69" spans="1:29" ht="40.5" customHeight="1">
      <c r="A69" s="15"/>
      <c r="B69" s="18"/>
      <c r="C69" s="19" t="s">
        <v>47</v>
      </c>
      <c r="D69" s="19"/>
      <c r="E69" s="20"/>
      <c r="F69" s="19">
        <v>44</v>
      </c>
      <c r="G69" s="15">
        <f t="shared" si="3"/>
        <v>35.64</v>
      </c>
      <c r="H69" s="19">
        <v>35.64</v>
      </c>
      <c r="I69" s="19"/>
      <c r="J69" s="19"/>
      <c r="K69" s="19"/>
      <c r="L69" s="19"/>
      <c r="M69" s="29">
        <f t="shared" si="13"/>
        <v>7.128</v>
      </c>
      <c r="N69" s="29"/>
      <c r="O69" s="29"/>
      <c r="P69" s="29"/>
      <c r="Q69" s="29"/>
      <c r="R69" s="29"/>
      <c r="S69" s="29"/>
      <c r="T69" s="29"/>
      <c r="U69" s="29">
        <v>21.384</v>
      </c>
      <c r="V69" s="29">
        <v>7.128</v>
      </c>
      <c r="W69" s="29">
        <v>7.128</v>
      </c>
      <c r="X69" s="29"/>
      <c r="Y69" s="27">
        <f t="shared" si="11"/>
        <v>35.64</v>
      </c>
      <c r="Z69" s="49">
        <f aca="true" t="shared" si="14" ref="Z69:Z81">G69-Y69</f>
        <v>0</v>
      </c>
      <c r="AA69" s="47">
        <f aca="true" t="shared" si="15" ref="AA69:AA81">Y69/G69</f>
        <v>1</v>
      </c>
      <c r="AB69" s="51"/>
      <c r="AC69" s="51"/>
    </row>
    <row r="70" spans="1:29" ht="40.5" customHeight="1">
      <c r="A70" s="15"/>
      <c r="B70" s="18"/>
      <c r="C70" s="19" t="s">
        <v>48</v>
      </c>
      <c r="D70" s="19"/>
      <c r="E70" s="20"/>
      <c r="F70" s="19">
        <v>50</v>
      </c>
      <c r="G70" s="15">
        <f aca="true" t="shared" si="16" ref="G70:G83">SUM(H70:L70)</f>
        <v>40.5</v>
      </c>
      <c r="H70" s="19">
        <v>40.5</v>
      </c>
      <c r="I70" s="19"/>
      <c r="J70" s="19"/>
      <c r="K70" s="19"/>
      <c r="L70" s="19"/>
      <c r="M70" s="29">
        <f t="shared" si="13"/>
        <v>8.1</v>
      </c>
      <c r="N70" s="29"/>
      <c r="O70" s="29"/>
      <c r="P70" s="29"/>
      <c r="Q70" s="29"/>
      <c r="R70" s="29"/>
      <c r="S70" s="29"/>
      <c r="T70" s="29"/>
      <c r="U70" s="29">
        <v>24.3</v>
      </c>
      <c r="V70" s="29">
        <v>8.1</v>
      </c>
      <c r="W70" s="29">
        <v>8.1</v>
      </c>
      <c r="X70" s="29"/>
      <c r="Y70" s="27">
        <f t="shared" si="11"/>
        <v>40.5</v>
      </c>
      <c r="Z70" s="49">
        <f t="shared" si="14"/>
        <v>0</v>
      </c>
      <c r="AA70" s="47">
        <f t="shared" si="15"/>
        <v>1</v>
      </c>
      <c r="AB70" s="51"/>
      <c r="AC70" s="51"/>
    </row>
    <row r="71" spans="1:29" ht="40.5" customHeight="1">
      <c r="A71" s="15"/>
      <c r="B71" s="18"/>
      <c r="C71" s="19" t="s">
        <v>49</v>
      </c>
      <c r="D71" s="19"/>
      <c r="E71" s="20"/>
      <c r="F71" s="19">
        <v>28</v>
      </c>
      <c r="G71" s="15">
        <f t="shared" si="16"/>
        <v>22.68</v>
      </c>
      <c r="H71" s="19">
        <v>22.68</v>
      </c>
      <c r="I71" s="19"/>
      <c r="J71" s="19"/>
      <c r="K71" s="19"/>
      <c r="L71" s="19"/>
      <c r="M71" s="29">
        <f t="shared" si="13"/>
        <v>4.536</v>
      </c>
      <c r="N71" s="29"/>
      <c r="O71" s="29"/>
      <c r="P71" s="29"/>
      <c r="Q71" s="29"/>
      <c r="R71" s="29"/>
      <c r="S71" s="29"/>
      <c r="T71" s="29"/>
      <c r="U71" s="29">
        <v>13.608</v>
      </c>
      <c r="V71" s="29">
        <f>-9.072</f>
        <v>-9.072</v>
      </c>
      <c r="W71" s="29"/>
      <c r="X71" s="29"/>
      <c r="Y71" s="27">
        <f t="shared" si="11"/>
        <v>4.536000000000001</v>
      </c>
      <c r="Z71" s="49">
        <f t="shared" si="14"/>
        <v>18.144</v>
      </c>
      <c r="AA71" s="47">
        <f t="shared" si="15"/>
        <v>0.20000000000000007</v>
      </c>
      <c r="AB71" s="51"/>
      <c r="AC71" s="51"/>
    </row>
    <row r="72" spans="1:29" ht="40.5" customHeight="1">
      <c r="A72" s="15"/>
      <c r="B72" s="18"/>
      <c r="C72" s="19" t="s">
        <v>50</v>
      </c>
      <c r="D72" s="19"/>
      <c r="E72" s="20"/>
      <c r="F72" s="19">
        <v>12</v>
      </c>
      <c r="G72" s="15">
        <f t="shared" si="16"/>
        <v>9.72</v>
      </c>
      <c r="H72" s="19">
        <v>9.72</v>
      </c>
      <c r="I72" s="19"/>
      <c r="J72" s="19"/>
      <c r="K72" s="19"/>
      <c r="L72" s="19"/>
      <c r="M72" s="29">
        <f t="shared" si="13"/>
        <v>1.944</v>
      </c>
      <c r="N72" s="29"/>
      <c r="O72" s="29"/>
      <c r="P72" s="29"/>
      <c r="Q72" s="29"/>
      <c r="R72" s="29"/>
      <c r="S72" s="29"/>
      <c r="T72" s="29"/>
      <c r="U72" s="29">
        <v>5.832</v>
      </c>
      <c r="V72" s="29">
        <v>1.944</v>
      </c>
      <c r="W72" s="29">
        <v>1.944</v>
      </c>
      <c r="X72" s="29"/>
      <c r="Y72" s="27">
        <f t="shared" si="11"/>
        <v>9.719999999999999</v>
      </c>
      <c r="Z72" s="49">
        <f t="shared" si="14"/>
        <v>0</v>
      </c>
      <c r="AA72" s="47">
        <f t="shared" si="15"/>
        <v>0.9999999999999998</v>
      </c>
      <c r="AB72" s="51"/>
      <c r="AC72" s="51"/>
    </row>
    <row r="73" spans="1:29" ht="40.5" customHeight="1">
      <c r="A73" s="15"/>
      <c r="B73" s="18"/>
      <c r="C73" s="19" t="s">
        <v>51</v>
      </c>
      <c r="D73" s="19"/>
      <c r="E73" s="20"/>
      <c r="F73" s="19">
        <v>12</v>
      </c>
      <c r="G73" s="15">
        <f t="shared" si="16"/>
        <v>9.72</v>
      </c>
      <c r="H73" s="19">
        <v>9.72</v>
      </c>
      <c r="I73" s="19"/>
      <c r="J73" s="19"/>
      <c r="K73" s="19"/>
      <c r="L73" s="19"/>
      <c r="M73" s="29">
        <f t="shared" si="13"/>
        <v>1.944</v>
      </c>
      <c r="N73" s="29"/>
      <c r="O73" s="29"/>
      <c r="P73" s="29"/>
      <c r="Q73" s="29"/>
      <c r="R73" s="29"/>
      <c r="S73" s="29"/>
      <c r="T73" s="29"/>
      <c r="U73" s="29">
        <v>5.832</v>
      </c>
      <c r="V73" s="29">
        <v>1.944</v>
      </c>
      <c r="W73" s="29">
        <v>1.944</v>
      </c>
      <c r="X73" s="29"/>
      <c r="Y73" s="27">
        <f t="shared" si="11"/>
        <v>9.719999999999999</v>
      </c>
      <c r="Z73" s="49">
        <f t="shared" si="14"/>
        <v>0</v>
      </c>
      <c r="AA73" s="47">
        <f t="shared" si="15"/>
        <v>0.9999999999999998</v>
      </c>
      <c r="AB73" s="51"/>
      <c r="AC73" s="51"/>
    </row>
    <row r="74" spans="1:29" ht="40.5" customHeight="1">
      <c r="A74" s="15"/>
      <c r="B74" s="18"/>
      <c r="C74" s="19" t="s">
        <v>52</v>
      </c>
      <c r="D74" s="19"/>
      <c r="E74" s="20"/>
      <c r="F74" s="19">
        <v>11</v>
      </c>
      <c r="G74" s="15">
        <f t="shared" si="16"/>
        <v>8.91</v>
      </c>
      <c r="H74" s="19">
        <v>8.91</v>
      </c>
      <c r="I74" s="19"/>
      <c r="J74" s="19"/>
      <c r="K74" s="19"/>
      <c r="L74" s="19"/>
      <c r="M74" s="29">
        <f t="shared" si="13"/>
        <v>1.782</v>
      </c>
      <c r="N74" s="29"/>
      <c r="O74" s="29"/>
      <c r="P74" s="29"/>
      <c r="Q74" s="29"/>
      <c r="R74" s="29"/>
      <c r="S74" s="29"/>
      <c r="T74" s="29"/>
      <c r="U74" s="29">
        <v>5.346</v>
      </c>
      <c r="V74" s="29">
        <v>1.782</v>
      </c>
      <c r="W74" s="29">
        <v>1.782</v>
      </c>
      <c r="X74" s="29"/>
      <c r="Y74" s="27">
        <f t="shared" si="11"/>
        <v>8.91</v>
      </c>
      <c r="Z74" s="49">
        <f t="shared" si="14"/>
        <v>0</v>
      </c>
      <c r="AA74" s="47">
        <f t="shared" si="15"/>
        <v>1</v>
      </c>
      <c r="AB74" s="51"/>
      <c r="AC74" s="53"/>
    </row>
    <row r="75" spans="1:29" ht="40.5" customHeight="1">
      <c r="A75" s="15">
        <v>23</v>
      </c>
      <c r="B75" s="18" t="s">
        <v>134</v>
      </c>
      <c r="C75" s="19" t="s">
        <v>135</v>
      </c>
      <c r="D75" s="19" t="s">
        <v>34</v>
      </c>
      <c r="E75" s="20" t="s">
        <v>136</v>
      </c>
      <c r="F75" s="19">
        <v>398.5</v>
      </c>
      <c r="G75" s="15">
        <f t="shared" si="16"/>
        <v>398.5</v>
      </c>
      <c r="H75" s="19">
        <v>398.5</v>
      </c>
      <c r="I75" s="19"/>
      <c r="J75" s="19"/>
      <c r="K75" s="19"/>
      <c r="L75" s="19"/>
      <c r="M75" s="29">
        <v>150</v>
      </c>
      <c r="N75" s="29"/>
      <c r="O75" s="29"/>
      <c r="P75" s="29"/>
      <c r="Q75" s="29"/>
      <c r="R75" s="29"/>
      <c r="S75" s="29"/>
      <c r="T75" s="29"/>
      <c r="U75" s="29"/>
      <c r="V75" s="38">
        <v>100</v>
      </c>
      <c r="W75" s="29"/>
      <c r="X75" s="29"/>
      <c r="Y75" s="27">
        <f t="shared" si="11"/>
        <v>100</v>
      </c>
      <c r="Z75" s="49">
        <f t="shared" si="14"/>
        <v>298.5</v>
      </c>
      <c r="AA75" s="47">
        <f t="shared" si="15"/>
        <v>0.25094102885821834</v>
      </c>
      <c r="AB75" s="51" t="s">
        <v>130</v>
      </c>
      <c r="AC75" s="53"/>
    </row>
    <row r="76" spans="1:29" ht="40.5" customHeight="1">
      <c r="A76" s="15">
        <v>24</v>
      </c>
      <c r="B76" s="18" t="s">
        <v>137</v>
      </c>
      <c r="C76" s="19" t="s">
        <v>138</v>
      </c>
      <c r="D76" s="19" t="s">
        <v>108</v>
      </c>
      <c r="E76" s="20" t="s">
        <v>139</v>
      </c>
      <c r="F76" s="19">
        <v>419.61</v>
      </c>
      <c r="G76" s="15">
        <f t="shared" si="16"/>
        <v>419.61</v>
      </c>
      <c r="H76" s="19">
        <v>419.61</v>
      </c>
      <c r="I76" s="19"/>
      <c r="J76" s="19"/>
      <c r="K76" s="19"/>
      <c r="L76" s="19"/>
      <c r="M76" s="29"/>
      <c r="N76" s="29"/>
      <c r="O76" s="29"/>
      <c r="P76" s="29"/>
      <c r="Q76" s="29"/>
      <c r="R76" s="29"/>
      <c r="S76" s="29"/>
      <c r="T76" s="29"/>
      <c r="U76" s="29"/>
      <c r="V76" s="38"/>
      <c r="W76" s="29">
        <v>126.9747</v>
      </c>
      <c r="X76" s="29"/>
      <c r="Y76" s="27">
        <f t="shared" si="11"/>
        <v>126.9747</v>
      </c>
      <c r="Z76" s="49">
        <f t="shared" si="14"/>
        <v>292.63530000000003</v>
      </c>
      <c r="AA76" s="47">
        <f t="shared" si="15"/>
        <v>0.3026017015800386</v>
      </c>
      <c r="AB76" s="51"/>
      <c r="AC76" s="53"/>
    </row>
    <row r="77" spans="1:29" ht="40.5" customHeight="1">
      <c r="A77" s="18">
        <v>25</v>
      </c>
      <c r="B77" s="18" t="s">
        <v>140</v>
      </c>
      <c r="C77" s="19" t="s">
        <v>141</v>
      </c>
      <c r="D77" s="19" t="s">
        <v>34</v>
      </c>
      <c r="E77" s="20" t="s">
        <v>142</v>
      </c>
      <c r="F77" s="19">
        <v>256</v>
      </c>
      <c r="G77" s="15">
        <f t="shared" si="16"/>
        <v>256</v>
      </c>
      <c r="H77" s="19">
        <v>256</v>
      </c>
      <c r="I77" s="19"/>
      <c r="J77" s="19"/>
      <c r="K77" s="19"/>
      <c r="L77" s="1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7">
        <f t="shared" si="11"/>
        <v>0</v>
      </c>
      <c r="Z77" s="49">
        <f t="shared" si="14"/>
        <v>256</v>
      </c>
      <c r="AA77" s="47">
        <f t="shared" si="15"/>
        <v>0</v>
      </c>
      <c r="AB77" s="51" t="s">
        <v>43</v>
      </c>
      <c r="AC77" s="51"/>
    </row>
    <row r="78" spans="1:29" ht="40.5" customHeight="1">
      <c r="A78" s="18">
        <v>26</v>
      </c>
      <c r="B78" s="18" t="s">
        <v>143</v>
      </c>
      <c r="C78" s="19" t="s">
        <v>144</v>
      </c>
      <c r="D78" s="19" t="s">
        <v>108</v>
      </c>
      <c r="E78" s="20" t="s">
        <v>145</v>
      </c>
      <c r="F78" s="19">
        <v>350</v>
      </c>
      <c r="G78" s="15">
        <f t="shared" si="16"/>
        <v>350</v>
      </c>
      <c r="H78" s="19">
        <v>350</v>
      </c>
      <c r="I78" s="19"/>
      <c r="J78" s="19"/>
      <c r="K78" s="19"/>
      <c r="L78" s="1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7">
        <f t="shared" si="11"/>
        <v>0</v>
      </c>
      <c r="Z78" s="49">
        <f t="shared" si="14"/>
        <v>350</v>
      </c>
      <c r="AA78" s="47">
        <f t="shared" si="15"/>
        <v>0</v>
      </c>
      <c r="AB78" s="51" t="s">
        <v>51</v>
      </c>
      <c r="AC78" s="51"/>
    </row>
    <row r="79" spans="1:29" ht="40.5" customHeight="1">
      <c r="A79" s="18">
        <v>27</v>
      </c>
      <c r="B79" s="18" t="s">
        <v>146</v>
      </c>
      <c r="C79" s="19" t="s">
        <v>147</v>
      </c>
      <c r="D79" s="19" t="s">
        <v>108</v>
      </c>
      <c r="E79" s="20" t="s">
        <v>148</v>
      </c>
      <c r="F79" s="19">
        <v>356.09</v>
      </c>
      <c r="G79" s="15">
        <f t="shared" si="16"/>
        <v>356.09</v>
      </c>
      <c r="H79" s="19">
        <v>356.09</v>
      </c>
      <c r="I79" s="19"/>
      <c r="J79" s="19"/>
      <c r="K79" s="19"/>
      <c r="L79" s="1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7">
        <f t="shared" si="11"/>
        <v>0</v>
      </c>
      <c r="Z79" s="49">
        <f t="shared" si="14"/>
        <v>356.09</v>
      </c>
      <c r="AA79" s="47">
        <f t="shared" si="15"/>
        <v>0</v>
      </c>
      <c r="AB79" s="51" t="s">
        <v>41</v>
      </c>
      <c r="AC79" s="51"/>
    </row>
    <row r="80" spans="1:29" ht="40.5" customHeight="1">
      <c r="A80" s="18">
        <v>28</v>
      </c>
      <c r="B80" s="18" t="s">
        <v>149</v>
      </c>
      <c r="C80" s="19" t="s">
        <v>150</v>
      </c>
      <c r="D80" s="19" t="s">
        <v>108</v>
      </c>
      <c r="E80" s="20" t="s">
        <v>151</v>
      </c>
      <c r="F80" s="19">
        <v>360</v>
      </c>
      <c r="G80" s="15">
        <f t="shared" si="16"/>
        <v>360</v>
      </c>
      <c r="H80" s="19">
        <v>360</v>
      </c>
      <c r="I80" s="19"/>
      <c r="J80" s="19"/>
      <c r="K80" s="19"/>
      <c r="L80" s="1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7">
        <f t="shared" si="11"/>
        <v>0</v>
      </c>
      <c r="Z80" s="49">
        <f t="shared" si="14"/>
        <v>360</v>
      </c>
      <c r="AA80" s="47">
        <f t="shared" si="15"/>
        <v>0</v>
      </c>
      <c r="AB80" s="51" t="s">
        <v>47</v>
      </c>
      <c r="AC80" s="51"/>
    </row>
    <row r="81" spans="1:29" ht="40.5" customHeight="1">
      <c r="A81" s="18">
        <v>29</v>
      </c>
      <c r="B81" s="18" t="s">
        <v>152</v>
      </c>
      <c r="C81" s="19" t="s">
        <v>153</v>
      </c>
      <c r="D81" s="19" t="s">
        <v>108</v>
      </c>
      <c r="E81" s="20" t="s">
        <v>154</v>
      </c>
      <c r="F81" s="19">
        <v>240</v>
      </c>
      <c r="G81" s="15">
        <f t="shared" si="16"/>
        <v>240</v>
      </c>
      <c r="H81" s="19">
        <v>240</v>
      </c>
      <c r="I81" s="19"/>
      <c r="J81" s="19"/>
      <c r="K81" s="19"/>
      <c r="L81" s="1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>
        <v>84.507</v>
      </c>
      <c r="X81" s="29"/>
      <c r="Y81" s="27">
        <f t="shared" si="11"/>
        <v>84.507</v>
      </c>
      <c r="Z81" s="49">
        <f t="shared" si="14"/>
        <v>155.493</v>
      </c>
      <c r="AA81" s="47">
        <f t="shared" si="15"/>
        <v>0.3521125</v>
      </c>
      <c r="AB81" s="51" t="s">
        <v>79</v>
      </c>
      <c r="AC81" s="51"/>
    </row>
    <row r="82" spans="1:29" ht="40.5" customHeight="1">
      <c r="A82" s="18"/>
      <c r="B82" s="18"/>
      <c r="C82" s="19"/>
      <c r="D82" s="19"/>
      <c r="E82" s="20"/>
      <c r="F82" s="19"/>
      <c r="G82" s="15">
        <f t="shared" si="16"/>
        <v>0</v>
      </c>
      <c r="H82" s="19"/>
      <c r="I82" s="19"/>
      <c r="J82" s="19"/>
      <c r="K82" s="19"/>
      <c r="L82" s="1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19"/>
      <c r="AA82" s="54"/>
      <c r="AB82" s="51"/>
      <c r="AC82" s="51"/>
    </row>
    <row r="83" spans="1:29" ht="40.5" customHeight="1">
      <c r="A83" s="18"/>
      <c r="B83" s="18"/>
      <c r="C83" s="19"/>
      <c r="D83" s="19"/>
      <c r="E83" s="20"/>
      <c r="F83" s="19"/>
      <c r="G83" s="15">
        <f t="shared" si="16"/>
        <v>0</v>
      </c>
      <c r="H83" s="19"/>
      <c r="I83" s="19"/>
      <c r="J83" s="19"/>
      <c r="K83" s="19"/>
      <c r="L83" s="1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19"/>
      <c r="AA83" s="54"/>
      <c r="AB83" s="51"/>
      <c r="AC83" s="51"/>
    </row>
  </sheetData>
  <sheetProtection/>
  <mergeCells count="26">
    <mergeCell ref="A1:AC1"/>
    <mergeCell ref="A2:D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allowBlank="1" showInputMessage="1" showErrorMessage="1" sqref="D65 D75 D76 D1:D2 D3:D4 D61:D62 D63:D64 D66:D74 D77:D83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2022-12-29T11:11:52Z</dcterms:created>
  <dcterms:modified xsi:type="dcterms:W3CDTF">2022-12-30T02:32:34Z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