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<sst xmlns="http://schemas.openxmlformats.org/spreadsheetml/2006/main" count="192" uniqueCount="141">
  <si>
    <t>伽师县2022年巩固拓展脱贫攻坚成果同乡村振兴有效衔接项目台账</t>
  </si>
  <si>
    <t>序号</t>
  </si>
  <si>
    <t>项目库编号</t>
  </si>
  <si>
    <t>项目名称</t>
  </si>
  <si>
    <t>项目类型</t>
  </si>
  <si>
    <t>建设地点及内容</t>
  </si>
  <si>
    <t>本年度
计划投资
(万元)</t>
  </si>
  <si>
    <t>整合资金安排情况（万元）</t>
  </si>
  <si>
    <t>7月支出计划任务
（万元）</t>
  </si>
  <si>
    <t>1月支出</t>
  </si>
  <si>
    <t>3月支出</t>
  </si>
  <si>
    <t>4月支出</t>
  </si>
  <si>
    <t>5月支出</t>
  </si>
  <si>
    <t>6月已支出</t>
  </si>
  <si>
    <t>7月支出</t>
  </si>
  <si>
    <t>8月支出</t>
  </si>
  <si>
    <t>9月支出</t>
  </si>
  <si>
    <t>10月支出</t>
  </si>
  <si>
    <t>11月支出</t>
  </si>
  <si>
    <t>12月支出</t>
  </si>
  <si>
    <t>累计支出</t>
  </si>
  <si>
    <t>余额</t>
  </si>
  <si>
    <t>资金支出率
（%）</t>
  </si>
  <si>
    <t>监管单位</t>
  </si>
  <si>
    <t>备注</t>
  </si>
  <si>
    <t>合计</t>
  </si>
  <si>
    <t>财政衔接推进乡村振兴补助资金</t>
  </si>
  <si>
    <t>其他涉农整合资金</t>
  </si>
  <si>
    <t>地方政府一般债券
资金</t>
  </si>
  <si>
    <t>地县资金</t>
  </si>
  <si>
    <t>其他资金</t>
  </si>
  <si>
    <t>合   计</t>
  </si>
  <si>
    <t>2022-js001</t>
  </si>
  <si>
    <t>伽师县新梅加工厂附属配套工程建设项目</t>
  </si>
  <si>
    <t>产业增收</t>
  </si>
  <si>
    <t>对江巴孜乡色日克托克拉克（3）村新梅加工厂房进行附属配套工程建设，总投资1700万元。
建设内容：污水处理设施占地面积3600平方米，锅炉房492平方米，地上配电室及发电机房110平方米，消防水池及蓄水池850立方米，道路硬化及场地面积10850平方米，并配备水电气等附属设备。资产归10个村，（英买里乡4个村：阿亚格英买里村（11）村、巴什兰干（13）村、克孜勒巴依拉克(15)村、拉依力克(20)村，江巴孜乡克其克布鲁胡其（24）村，米夏乡其拉克（13）村，夏普吐勒镇喀赞库勒（14）村，和夏阿瓦提镇墩吕克（17）村，克孜勒苏乡阿克艾日克（23)村，铁日木乡恰央恰克提（9）村），每年资产收益分红6%。</t>
  </si>
  <si>
    <t>供销社</t>
  </si>
  <si>
    <t>2022-js002</t>
  </si>
  <si>
    <t>伽师县2022年拱棚建设项目</t>
  </si>
  <si>
    <t>为大力发展设施农业，增强瓜菜供应能力，提高农民收入，建设连栋拱棚29座、规格:每栋11200平方米。补助标准：120万元/座，总投资3500万元。
英买里乡阿亚格英买里（11）村3座，江巴孜乡开旦木加依村（10）村2座，卧里托格拉克镇巴扎（28）村3座，克孜勒博依镇恰瓦拉（27）村3座，米夏乡其兰力克（8）村2座，夏普吐勒镇恰依拉（19）村3座，和夏阿瓦提镇欧吐拉巴格恰村（38）村3座，克孜勒苏乡古里巴什（18）村2座，古勒鲁克乡2座，玉代克力克乡乔拉克（10）村2座，铁日木乡阿亚格铁日木村（5）村2座，巴仁镇巴仁（1）村2座。</t>
  </si>
  <si>
    <t>农技推广中心</t>
  </si>
  <si>
    <t>英买里乡</t>
  </si>
  <si>
    <t>江巴孜乡</t>
  </si>
  <si>
    <t>卧里托格拉克镇</t>
  </si>
  <si>
    <t>克孜勒博依镇</t>
  </si>
  <si>
    <t>米夏乡</t>
  </si>
  <si>
    <t>夏普吐勒镇</t>
  </si>
  <si>
    <t>和夏阿瓦提镇</t>
  </si>
  <si>
    <t>克孜勒苏乡</t>
  </si>
  <si>
    <t>古勒鲁克乡</t>
  </si>
  <si>
    <t>玉代克力克乡</t>
  </si>
  <si>
    <t>铁日木乡</t>
  </si>
  <si>
    <t>巴仁镇</t>
  </si>
  <si>
    <t>2022-js006</t>
  </si>
  <si>
    <t>伽师县克孜勒博依镇生态综合整治工程（现代农业产业园）</t>
  </si>
  <si>
    <t>在克孜勒博依镇实施28924亩定植新梅杏李，28924亩土地平整及高效节水，完成3条田间渠17.63公里、水闸59座、15座沉砂池、田间道路31条66.88公里、排碱渠71.579公里、电路29.4公里等配套附属设施建设。总投资9300万元。</t>
  </si>
  <si>
    <t>自然资源局</t>
  </si>
  <si>
    <t>2022-js007</t>
  </si>
  <si>
    <t>伽师县林果防治药剂采购项目</t>
  </si>
  <si>
    <t xml:space="preserve">开展伽师县林果秋冬季防治工作，购置药剂：清园剂150吨，计900万元；树干涂白剂300吨，计490万元，合计为1390万元。                               </t>
  </si>
  <si>
    <t>2022-js008</t>
  </si>
  <si>
    <t>伽师县2022年林果接穗储备项目</t>
  </si>
  <si>
    <t>1、10个乡镇192个村共采集新梅（杏李）接穗168.22万根，开展伽师新梅（杏李）嫁接，确保伽师新梅（杏李）产业的良好发展。总资金45.26万元。
2、夏普吐勒镇巴依艾日克（13）村杏李采穗圃700亩，玉代克力克乡英艾日克（12）村石榴采穗圃100亩，开展林果嫁接。总规模800亩，投资40万元。</t>
  </si>
  <si>
    <t>2022-js010</t>
  </si>
  <si>
    <t>喀什地区现代农业（百万只良种肉羊）产业园-伽师县场扩建项目</t>
  </si>
  <si>
    <t>在喀什市阿克喀什乡墩艾日克（4）村占地面积约60000平方米，新建扩建规模化养殖车间6栋，隔离观察规模化养殖车间1栋，建设面积14100平方米，以及相关配套设施和设备等，投资1500万元。</t>
  </si>
  <si>
    <t>畜牧兽医局</t>
  </si>
  <si>
    <t>2022-js011</t>
  </si>
  <si>
    <t>伽师县种禽场项目</t>
  </si>
  <si>
    <t>在和夏阿瓦提镇达西村新建生产种蛋、孵化、育雏一体化的现代种禽场，占地面积80亩，新建种禽舍约3360平方米，育雏舍约10080平方米，孵化室约500平方米，配套设施建设约5605平方米、购买运营设备、以及完善附属配套设施，总投资1500万元。</t>
  </si>
  <si>
    <t>设计已定，正在准备评审资料</t>
  </si>
  <si>
    <t>2022-js012</t>
  </si>
  <si>
    <t>伽师县畜禽饲草料加工厂建设项目</t>
  </si>
  <si>
    <t>江巴孜乡色日克托克拉克（3）村建设饲草料加工厂1座，包含厂房建设、库房建设、设备采购及附属设施配套等。延伸甜菜产业链，利用糖渣加工饲料。总投资5000万元，2022年投资930万元。</t>
  </si>
  <si>
    <t>2022-js013</t>
  </si>
  <si>
    <t>喀什地区肉牛产业园—伽师县场建设项目</t>
  </si>
  <si>
    <t>在疏勒县艾尔木东乡阿拉力（2）村，新建占地650亩饲养规模2万头牛的牛舍100000平方米，管理用房2200㎡，TMR中心青贮窖、饲草料棚以及附属设施建设，设备采购等。总投资：8000万元。</t>
  </si>
  <si>
    <t>喀什地区一市四县带动农户养殖喀什黑鸡项目伽师县（一期）项目</t>
  </si>
  <si>
    <t>在喀什市伯什克然木乡喀拉库木（18）村，建设一座集孵化、育雏、养殖、屠宰等黑鸡家禽养殖基地的基础设施建设，设备购置等，总投资2000万元。</t>
  </si>
  <si>
    <t>设计、评审已完成，正在准备挂网</t>
  </si>
  <si>
    <t>2022-js016</t>
  </si>
  <si>
    <t>伽师县特色产业配套基础设施建设项目（以工代赈）</t>
  </si>
  <si>
    <t>对7个乡镇8个村和一个文化旅游产业新建渠道25.035公里及配套建筑物；新建道路20.745公里；土地整治614亩，硬化道路20000平方米等。总体投资2783万元。
1、江巴孜乡托万尕勒（23）村、英买里乡阿亚克兰干（14村）防渗改建渠系7公里、道路1.5公里及配套建筑物，资金480万元。
2、卧里托格拉克镇帕尔其托格拉克（15）村计划修建防渗渠道4.78公里及配套建筑物，资金380万元。
3、米夏乡恰喀（2）村建设道路9.645公里，主要包括路基、路面桥涵及其附属设施建设，资金390万元。
4、夏普吐勒镇克其克阿克艾日克（21）村建设道路9.6公里，主要包括路基、路面桥涵及其附属设施建设，资金390万元。
5、和夏阿瓦提镇尤古买希勒克（30）村防渗改建渠系4.25公里及配套建筑物，资金283万元。
6、克孜勒苏乡古里巴什（18）村防渗改建渠系5.005公里及配套建筑物，资金300万元。
7、古勒鲁克乡阿克托卡依（20）村防渗改建渠系4公里及配套建筑物,土地整治614亩，资金280万元。
8、伽师县2022年文化旅游产业基础设施，旅游道路及场地硬化工程20000平方米，资金330万元。</t>
  </si>
  <si>
    <t>发改委</t>
  </si>
  <si>
    <t>交通局</t>
  </si>
  <si>
    <t>江巴孜乡（防渗渠）</t>
  </si>
  <si>
    <t>卧里托格拉克镇（防渗渠）</t>
  </si>
  <si>
    <t>米夏乡（道路）</t>
  </si>
  <si>
    <t>夏普吐勒镇（道路）</t>
  </si>
  <si>
    <t>和夏阿瓦提镇（防渗渠）</t>
  </si>
  <si>
    <t>克孜勒苏乡（防渗渠）</t>
  </si>
  <si>
    <t>古勒鲁克乡（防渗渠\土地整治）</t>
  </si>
  <si>
    <t>2022-js017</t>
  </si>
  <si>
    <t>伽师县小额贷款贴息项目</t>
  </si>
  <si>
    <t>全县小额信贷8494户脱贫户贴息，资金1000万元。</t>
  </si>
  <si>
    <t>财政局</t>
  </si>
  <si>
    <t>2022-js003</t>
  </si>
  <si>
    <t>伽师县现代设施新梅产业园建设项目</t>
  </si>
  <si>
    <t>为大力发展设施农业，增强反季市场节供应能力，提高农民收入，在英买里乡英买里村，夏阿瓦提镇墩吕克（17）村、克亚克勒克（28）村，铁日木乡恰央恰克提（9）村、阿亚格兰干（10）村，建设温室大棚875座，规格;50m*9m,补助标准：20万元/座，总投资17500万元.</t>
  </si>
  <si>
    <t>农技中心</t>
  </si>
  <si>
    <t>8月5日开标</t>
  </si>
  <si>
    <t>2022-js034</t>
  </si>
  <si>
    <t>伽师县2022年高标准农田建设项目</t>
  </si>
  <si>
    <t>乡村建设项目</t>
  </si>
  <si>
    <t>对伽师县10个乡镇71个村10万亩土地开展土地平整、建设高效节水设施、完善路渠带等附属设施配套，惠及3945户脱贫户。平均补助标准：2240元/亩，总投资22400万元，其中衔接资金投入8100万元。</t>
  </si>
  <si>
    <t>农业农村局</t>
  </si>
  <si>
    <t>2022-js020</t>
  </si>
  <si>
    <t>伽师县乡镇小微产业园建设项目</t>
  </si>
  <si>
    <t>在夏普吐勒镇巴扎（1）村、克孜勒苏乡央艾日克（12）村、古勒鲁克乡喀日木库木（11）村、玉代克力克乡巴扎（5）村新建以小微产业园厂房及水电路配套附属设施，总投资1336万元，资产归村集体所有，每年资产收益分红6%。
夏普吐勒镇巴扎（1）村乡镇小微产业园拟新建园区内上下水电、路等基础设施配套，预算160万元；
克孜勒苏乡央艾日克（12）村乡镇小微产业园拟新建园区内综合设备用房486平方米及室外附属等，预算398万元；
古勒鲁克乡喀日木库木（11）村乡镇小微产业园拟新建综合设备用房一座492.28平方米，配套建设室外附属设施，预算投资398万元；
玉代克力克乡巴扎（5）村乡镇小微产业园拟新建建材厂一座1000平方米，消防水池一座75平方米，并配套购置安装400kv变压器一个，预算投资380万元.</t>
  </si>
  <si>
    <t>商工局</t>
  </si>
  <si>
    <t>2022-js025</t>
  </si>
  <si>
    <t>伽师县2022年乡村道路日常养护项目</t>
  </si>
  <si>
    <t>就业增收</t>
  </si>
  <si>
    <t>12个乡镇1254名护路员公益性岗位进行工资补助，每人每月1000元，计划资金1504.8万元。</t>
  </si>
  <si>
    <t>2022-js019</t>
  </si>
  <si>
    <t>伽师县2022年乡村振兴就业创业基地建设项目</t>
  </si>
  <si>
    <t>在4个乡镇集中连片建设乡村振兴就业创业基地，配套相应附属设施。资产归村集体所有，每个乡村振兴就业创业基地解决每个村不低于5名已脱贫户就业，每个村补助资金100万，总资金4300万元。
1、克孜勒博依镇建设场地规划用地面积20962.76平方米、规划总建筑面积4477平方米，预算投资1200万元，资产归12个村：居维其（2）村、库木买里斯（3）村、英艾日克（8）村、巴格艾日克（9）村、曲勒库勒（13）村、坎迪尔勒克（19）村、色满（23）村、木努尔（25）村、恰瓦拉（27）村、铁热克博斯坦（28）村、阿容（29）村、博迪马勒（30）村。
2、克孜勒苏乡规划用地面积1411平方米（2.11亩），本次规划建筑面积1233平方米，预算投资400万元，资产归4个村：巴什栏杆（1）村、塔格艾日克（17）村、阿克艾日克（23）村、阿克托喀依（30）村。
3、古勒鲁克乡规划用地面积9237平方米（13.8亩），规划建筑面积4965平方米，预算投资1400万元，资产归14个村：巴什古勒鲁克（1）村、兰干（2）村、英巴格（5）村、阿克提坎（8）村、巴什阿勒克库勒(9）村，阿勒喀库勒（10）村、拜什塔木（12）村、科克塔勒（19）村、阿克托卡依（20）村、苏巴斯提（21）村、英买里（23）村、欧吐拉拜什塔木（24）村、阿亚格科克塔勒（25）、巴什阿恰勒（26）村、克孜力库木（27）村。
4、西克尔镇规划用地面积5131.4平方米（7.7亩），规划建筑面积3843平方米，预算投资1300万元，资产归13个村：原卧里托格拉克镇色日克托格拉克（6）村、托库勒（9）村、喀热古鲁克（10）村、夏普吐勒买里斯（12）村、苏坎阿斯特（13）村、托格拉（33）村、阔曲买贝希（34）村；原克孜勒苏乡多来提巴格（27）村、克日克塔木（29）村、古力巴格（31）村；原古勒鲁克乡喀让古鲁克（15）村、阿恰勒（17）村、库其木拜什（28）村。</t>
  </si>
  <si>
    <t>分四个标段，于8月9日、15日、16日、17日陆续开标</t>
  </si>
  <si>
    <t>2022-js027</t>
  </si>
  <si>
    <t>伽师县2022年示范村建设项目</t>
  </si>
  <si>
    <t>乡村建设行动</t>
  </si>
  <si>
    <t>对19个示范村开展垃圾污水处理、道路建设、渠道防渗、公共厕所、电子商务服务站等项目建设，总投资11012.615万元。
1、英买里乡阿亚格英买里（11）村。
2、江巴孜乡克其克布鲁胡其（24）村。
3、卧里托格拉克镇销尔介乃克（18）村、拜什托普村（17）村。
4、克孜勒博依镇先拜巴扎（1）村、阿亚格乔拉克（17）村。
5、米夏乡江尕勒霍依拉（1）村、其拉克（13）村。
6、夏普吐勒镇巴扎(1)村、托什坎拉（17）村。
7、和夏阿瓦提镇托玛贝希（16）村、英艾日克（7）村。
8、克孜勒苏乡古里巴什（18）村、阿亚格勒格勒德玛（7）村。
9、古勒鲁克乡阿勒克库勒（10）村、喀日木库木（11）村。
10、玉代克力克乡巴扎（5）村。
11、铁日木乡阿亚格铁日木（5）村。
12、巴仁镇阿热买里（5）村。</t>
  </si>
  <si>
    <t>乡村振兴局</t>
  </si>
  <si>
    <t>2022-js031</t>
  </si>
  <si>
    <t>伽师县英买里乡英买里村重点示范村建设项目</t>
  </si>
  <si>
    <t>在英买里乡英买里村建设污水主管网9公里、支管网5公里、污水提升泵站1座、天然气管道9.112公里、道路整治7.66公里、购置垃圾压缩车1辆、电动回收垃圾车4辆、垃圾处理中转站1座、就业小市场、渠道6.5公里、等基础设施、公共服务能力提升等，总投资2932.37万元，其中衔接资金1790.37万元。</t>
  </si>
  <si>
    <t>2022-js032</t>
  </si>
  <si>
    <t>伽师县铁日木乡幸福村重点示范村建设项目</t>
  </si>
  <si>
    <t>在铁日木乡幸福村乡建设污水主管网6.5公里、支管网8.3公里、污水提升泵站1座、天然气管道6.6公里、道路整治7.7公里、购置垃圾压缩车1辆、垃圾桶30个、就业小市场及服务中心等基础设施、公共服务能力提升等，总投资3600万元其中衔接资金1983.51万元。</t>
  </si>
  <si>
    <t>2022-js036</t>
  </si>
  <si>
    <t>伽师县“雨露计划”职业教育补助项目</t>
  </si>
  <si>
    <t>巩固三保障成果</t>
  </si>
  <si>
    <t>对疆内外在册就读中职、高职、技工学校伽师籍脱贫户学生家庭进行补助。补助人数7000人，每人补助3000元，总资金2100万元。</t>
  </si>
  <si>
    <t>教育局</t>
  </si>
  <si>
    <t>伽师县2022年喀什地区现代农业（百万只良种肉羊）产业园伽师县改扩建项目</t>
  </si>
  <si>
    <t>为提高生产规模，增加就业，巩固拓展和乡村振兴有效衔接，原喀什地区现代农业（百万只良种）产业园伽师县场18栋产羔舍通风、羔羊岛改造，TMR中心扩建配料仓、粉碎间等工程。资产归村集体所有，分红不低于6</t>
  </si>
  <si>
    <t>畜牧局</t>
  </si>
  <si>
    <t>2022-js037</t>
  </si>
  <si>
    <t>伽师县2022年农村居民“煤改电”工程建设项目</t>
  </si>
  <si>
    <t>8个乡镇72个村4224户（脱贫户3128户，三类户监测户1096户）开展煤改电建设，解决脱贫户冬季采暖问题，每户补助900元/户，资金380.16万元。</t>
  </si>
  <si>
    <t>发改委、住建局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</si>
</sst>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);[Red]\(0.00\)"/>
    <numFmt numFmtId="178" formatCode="0.00_ "/>
  </numFmts>
  <fonts count="57">
    <font>
      <sz val="12"/>
      <name val="宋体"/>
      <family val="0"/>
    </font>
    <font>
      <sz val="11"/>
      <name val="宋体"/>
      <family val="0"/>
    </font>
    <font>
      <sz val="28"/>
      <name val="方正小标宋简体"/>
      <family val="0"/>
    </font>
    <font>
      <sz val="12"/>
      <name val="方正黑体简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name val="仿宋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76" fontId="51" fillId="0" borderId="0" xfId="0" applyNumberFormat="1" applyFont="1" applyFill="1" applyBorder="1" applyAlignment="1" applyProtection="1">
      <alignment horizontal="left" vertical="center"/>
      <protection/>
    </xf>
    <xf numFmtId="0" fontId="51" fillId="0" borderId="0" xfId="0" applyNumberFormat="1" applyFont="1" applyFill="1" applyBorder="1" applyAlignment="1" applyProtection="1">
      <alignment horizontal="left" vertical="center"/>
      <protection/>
    </xf>
    <xf numFmtId="0" fontId="5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52" fillId="0" borderId="9" xfId="0" applyNumberFormat="1" applyFont="1" applyFill="1" applyBorder="1" applyAlignment="1" applyProtection="1">
      <alignment horizontal="left" vertical="center" wrapText="1"/>
      <protection/>
    </xf>
    <xf numFmtId="177" fontId="2" fillId="0" borderId="0" xfId="0" applyNumberFormat="1" applyFont="1" applyFill="1" applyBorder="1" applyAlignment="1" applyProtection="1">
      <alignment horizontal="center" vertical="center" wrapText="1"/>
      <protection/>
    </xf>
    <xf numFmtId="177" fontId="5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177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77" fontId="51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53" fillId="0" borderId="9" xfId="0" applyNumberFormat="1" applyFont="1" applyFill="1" applyBorder="1" applyAlignment="1" applyProtection="1">
      <alignment horizontal="center" vertical="center" wrapText="1"/>
      <protection/>
    </xf>
    <xf numFmtId="177" fontId="54" fillId="0" borderId="9" xfId="0" applyNumberFormat="1" applyFont="1" applyFill="1" applyBorder="1" applyAlignment="1" applyProtection="1">
      <alignment horizontal="center" vertical="center" wrapText="1"/>
      <protection/>
    </xf>
    <xf numFmtId="177" fontId="0" fillId="0" borderId="9" xfId="0" applyNumberFormat="1" applyFont="1" applyFill="1" applyBorder="1" applyAlignment="1" applyProtection="1">
      <alignment horizontal="center" vertical="center" wrapText="1"/>
      <protection/>
    </xf>
    <xf numFmtId="177" fontId="51" fillId="0" borderId="9" xfId="0" applyNumberFormat="1" applyFont="1" applyFill="1" applyBorder="1" applyAlignment="1" applyProtection="1">
      <alignment horizontal="center" vertical="center" wrapText="1"/>
      <protection/>
    </xf>
    <xf numFmtId="177" fontId="51" fillId="0" borderId="0" xfId="0" applyNumberFormat="1" applyFont="1" applyFill="1" applyBorder="1" applyAlignment="1" applyProtection="1">
      <alignment horizontal="center" vertical="center"/>
      <protection/>
    </xf>
    <xf numFmtId="177" fontId="55" fillId="0" borderId="9" xfId="0" applyNumberFormat="1" applyFont="1" applyFill="1" applyBorder="1" applyAlignment="1" applyProtection="1">
      <alignment horizontal="center" vertical="center" wrapText="1"/>
      <protection/>
    </xf>
    <xf numFmtId="10" fontId="2" fillId="0" borderId="0" xfId="0" applyNumberFormat="1" applyFont="1" applyFill="1" applyBorder="1" applyAlignment="1" applyProtection="1">
      <alignment horizontal="center" vertical="center" wrapText="1"/>
      <protection/>
    </xf>
    <xf numFmtId="10" fontId="51" fillId="0" borderId="0" xfId="0" applyNumberFormat="1" applyFont="1" applyFill="1" applyBorder="1" applyAlignment="1" applyProtection="1">
      <alignment horizontal="center" vertical="center"/>
      <protection/>
    </xf>
    <xf numFmtId="177" fontId="51" fillId="0" borderId="0" xfId="0" applyNumberFormat="1" applyFont="1" applyFill="1" applyBorder="1" applyAlignment="1" applyProtection="1">
      <alignment vertical="center"/>
      <protection/>
    </xf>
    <xf numFmtId="31" fontId="51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9" xfId="0" applyNumberFormat="1" applyFont="1" applyFill="1" applyBorder="1" applyAlignment="1" applyProtection="1">
      <alignment horizontal="center" vertical="center" wrapText="1"/>
      <protection/>
    </xf>
    <xf numFmtId="1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9" xfId="0" applyNumberFormat="1" applyFont="1" applyFill="1" applyBorder="1" applyAlignment="1" applyProtection="1">
      <alignment horizontal="center" vertical="center" wrapText="1"/>
      <protection/>
    </xf>
    <xf numFmtId="178" fontId="5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9" xfId="0" applyNumberFormat="1" applyFont="1" applyFill="1" applyBorder="1" applyAlignment="1" applyProtection="1">
      <alignment horizontal="center" vertical="center" wrapText="1"/>
      <protection/>
    </xf>
    <xf numFmtId="0" fontId="31" fillId="0" borderId="9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tabSelected="1" zoomScaleSheetLayoutView="100" workbookViewId="0" topLeftCell="D1">
      <selection activeCell="K6" sqref="K6"/>
    </sheetView>
  </sheetViews>
  <sheetFormatPr defaultColWidth="9.00390625" defaultRowHeight="14.25"/>
  <cols>
    <col min="1" max="2" width="9.00390625" style="1" customWidth="1"/>
    <col min="3" max="3" width="27.375" style="1" customWidth="1"/>
    <col min="4" max="4" width="9.00390625" style="1" customWidth="1"/>
    <col min="5" max="5" width="73.00390625" style="1" customWidth="1"/>
    <col min="6" max="12" width="9.00390625" style="1" customWidth="1"/>
    <col min="13" max="18" width="9.00390625" style="1" hidden="1" customWidth="1"/>
    <col min="19" max="19" width="9.00390625" style="1" customWidth="1"/>
    <col min="20" max="24" width="9.00390625" style="1" hidden="1" customWidth="1"/>
    <col min="25" max="25" width="9.00390625" style="1" customWidth="1"/>
    <col min="26" max="26" width="15.375" style="1" customWidth="1"/>
    <col min="27" max="27" width="15.00390625" style="1" customWidth="1"/>
    <col min="28" max="16384" width="9.00390625" style="1" customWidth="1"/>
  </cols>
  <sheetData>
    <row r="1" spans="1:29" ht="35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2"/>
      <c r="AA1" s="32"/>
      <c r="AB1" s="2"/>
      <c r="AC1" s="2"/>
    </row>
    <row r="2" spans="1:29" ht="14.25">
      <c r="A2" s="3"/>
      <c r="B2" s="3"/>
      <c r="C2" s="3"/>
      <c r="D2" s="3"/>
      <c r="E2" s="4"/>
      <c r="F2" s="5"/>
      <c r="G2" s="4"/>
      <c r="H2" s="4"/>
      <c r="I2" s="4"/>
      <c r="J2" s="4"/>
      <c r="K2" s="4"/>
      <c r="L2" s="4"/>
      <c r="M2" s="19"/>
      <c r="N2" s="19"/>
      <c r="O2" s="19">
        <f>H5*0.3</f>
        <v>17291.04</v>
      </c>
      <c r="P2" s="19"/>
      <c r="Q2" s="19"/>
      <c r="R2" s="30"/>
      <c r="S2" s="19"/>
      <c r="T2" s="19"/>
      <c r="U2" s="19"/>
      <c r="V2" s="19"/>
      <c r="W2" s="19"/>
      <c r="X2" s="19"/>
      <c r="Y2" s="19"/>
      <c r="Z2" s="4"/>
      <c r="AA2" s="33"/>
      <c r="AB2" s="34"/>
      <c r="AC2" s="35"/>
    </row>
    <row r="3" spans="1:29" ht="14.25">
      <c r="A3" s="6" t="s">
        <v>1</v>
      </c>
      <c r="B3" s="7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8" t="s">
        <v>7</v>
      </c>
      <c r="H3" s="9"/>
      <c r="I3" s="9"/>
      <c r="J3" s="9"/>
      <c r="K3" s="9"/>
      <c r="L3" s="20"/>
      <c r="M3" s="21" t="s">
        <v>8</v>
      </c>
      <c r="N3" s="22" t="s">
        <v>9</v>
      </c>
      <c r="O3" s="22" t="s">
        <v>10</v>
      </c>
      <c r="P3" s="22" t="s">
        <v>11</v>
      </c>
      <c r="Q3" s="22" t="s">
        <v>12</v>
      </c>
      <c r="R3" s="22" t="s">
        <v>13</v>
      </c>
      <c r="S3" s="22" t="s">
        <v>14</v>
      </c>
      <c r="T3" s="22" t="s">
        <v>15</v>
      </c>
      <c r="U3" s="22" t="s">
        <v>16</v>
      </c>
      <c r="V3" s="22" t="s">
        <v>17</v>
      </c>
      <c r="W3" s="22" t="s">
        <v>18</v>
      </c>
      <c r="X3" s="22" t="s">
        <v>19</v>
      </c>
      <c r="Y3" s="22" t="s">
        <v>20</v>
      </c>
      <c r="Z3" s="36" t="s">
        <v>21</v>
      </c>
      <c r="AA3" s="37" t="s">
        <v>22</v>
      </c>
      <c r="AB3" s="6" t="s">
        <v>23</v>
      </c>
      <c r="AC3" s="6" t="s">
        <v>24</v>
      </c>
    </row>
    <row r="4" spans="1:29" ht="57">
      <c r="A4" s="6"/>
      <c r="B4" s="10"/>
      <c r="C4" s="6"/>
      <c r="D4" s="6"/>
      <c r="E4" s="6"/>
      <c r="F4" s="10"/>
      <c r="G4" s="6" t="s">
        <v>25</v>
      </c>
      <c r="H4" s="11" t="s">
        <v>26</v>
      </c>
      <c r="I4" s="11" t="s">
        <v>27</v>
      </c>
      <c r="J4" s="11" t="s">
        <v>28</v>
      </c>
      <c r="K4" s="11" t="s">
        <v>29</v>
      </c>
      <c r="L4" s="11" t="s">
        <v>30</v>
      </c>
      <c r="M4" s="21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38"/>
      <c r="AA4" s="37"/>
      <c r="AB4" s="6"/>
      <c r="AC4" s="6"/>
    </row>
    <row r="5" spans="1:29" ht="42.75" customHeight="1">
      <c r="A5" s="12"/>
      <c r="B5" s="13"/>
      <c r="C5" s="13"/>
      <c r="D5" s="12"/>
      <c r="E5" s="14" t="s">
        <v>31</v>
      </c>
      <c r="F5" s="12">
        <f>SUM(F6:F63)</f>
        <v>92095.55500000001</v>
      </c>
      <c r="G5" s="12">
        <f aca="true" t="shared" si="0" ref="G5:Y5">SUM(G6:G7)+SUM(G20:G27)+G28+SUM(G37:G40)+SUM(G45:G47)+SUM(G59:G63)</f>
        <v>60241.94000000001</v>
      </c>
      <c r="H5" s="12">
        <f t="shared" si="0"/>
        <v>57636.8</v>
      </c>
      <c r="I5" s="12">
        <f t="shared" si="0"/>
        <v>2342.64</v>
      </c>
      <c r="J5" s="12">
        <f t="shared" si="0"/>
        <v>0</v>
      </c>
      <c r="K5" s="12">
        <f t="shared" si="0"/>
        <v>262.5</v>
      </c>
      <c r="L5" s="12">
        <f t="shared" si="0"/>
        <v>0</v>
      </c>
      <c r="M5" s="12">
        <f t="shared" si="0"/>
        <v>5750.616099999999</v>
      </c>
      <c r="N5" s="12">
        <f t="shared" si="0"/>
        <v>434.594028</v>
      </c>
      <c r="O5" s="12">
        <f t="shared" si="0"/>
        <v>13625.800667</v>
      </c>
      <c r="P5" s="12">
        <f t="shared" si="0"/>
        <v>5511.206044</v>
      </c>
      <c r="Q5" s="12">
        <f t="shared" si="0"/>
        <v>1487.131965</v>
      </c>
      <c r="R5" s="12">
        <f t="shared" si="0"/>
        <v>9198.342088</v>
      </c>
      <c r="S5" s="12">
        <f t="shared" si="0"/>
        <v>9232.966734</v>
      </c>
      <c r="T5" s="12">
        <f t="shared" si="0"/>
        <v>0</v>
      </c>
      <c r="U5" s="12">
        <f t="shared" si="0"/>
        <v>0</v>
      </c>
      <c r="V5" s="12">
        <f t="shared" si="0"/>
        <v>0</v>
      </c>
      <c r="W5" s="12">
        <f t="shared" si="0"/>
        <v>0</v>
      </c>
      <c r="X5" s="12">
        <f t="shared" si="0"/>
        <v>0</v>
      </c>
      <c r="Y5" s="12">
        <f t="shared" si="0"/>
        <v>39490.04152600001</v>
      </c>
      <c r="Z5" s="39">
        <f aca="true" t="shared" si="1" ref="Z5:Z63">G5-Y5</f>
        <v>20751.898474</v>
      </c>
      <c r="AA5" s="40">
        <f aca="true" t="shared" si="2" ref="AA5:AA63">Y5/G5</f>
        <v>0.6555240672196148</v>
      </c>
      <c r="AB5" s="41">
        <f>(Y5-200-29.889968-82.0552)/H5</f>
        <v>0.6797410050176277</v>
      </c>
      <c r="AC5" s="12">
        <f>G5*0.65</f>
        <v>39157.261000000006</v>
      </c>
    </row>
    <row r="6" spans="1:29" ht="139.5" customHeight="1">
      <c r="A6" s="15">
        <v>1</v>
      </c>
      <c r="B6" s="15" t="s">
        <v>32</v>
      </c>
      <c r="C6" s="16" t="s">
        <v>33</v>
      </c>
      <c r="D6" s="15" t="s">
        <v>34</v>
      </c>
      <c r="E6" s="16" t="s">
        <v>35</v>
      </c>
      <c r="F6" s="15">
        <v>1700</v>
      </c>
      <c r="G6" s="15">
        <f aca="true" t="shared" si="3" ref="G6:G63">SUM(H6:L6)</f>
        <v>1700</v>
      </c>
      <c r="H6" s="15">
        <v>1700</v>
      </c>
      <c r="I6" s="15"/>
      <c r="J6" s="15"/>
      <c r="K6" s="15"/>
      <c r="L6" s="15"/>
      <c r="M6" s="24">
        <v>973.64</v>
      </c>
      <c r="N6" s="24"/>
      <c r="O6" s="24"/>
      <c r="P6" s="24">
        <v>56</v>
      </c>
      <c r="Q6" s="24">
        <v>49</v>
      </c>
      <c r="R6" s="24">
        <v>486.823</v>
      </c>
      <c r="S6" s="24">
        <v>973.646</v>
      </c>
      <c r="T6" s="24"/>
      <c r="U6" s="24"/>
      <c r="V6" s="24"/>
      <c r="W6" s="24"/>
      <c r="X6" s="24"/>
      <c r="Y6" s="24">
        <f aca="true" t="shared" si="4" ref="Y6:Y39">SUM(N6:X6)</f>
        <v>1565.469</v>
      </c>
      <c r="Z6" s="42">
        <f t="shared" si="1"/>
        <v>134.53099999999995</v>
      </c>
      <c r="AA6" s="40">
        <f t="shared" si="2"/>
        <v>0.9208641176470589</v>
      </c>
      <c r="AB6" s="15" t="s">
        <v>36</v>
      </c>
      <c r="AC6" s="43">
        <f>AC5-Y5</f>
        <v>-332.7805260000023</v>
      </c>
    </row>
    <row r="7" spans="1:29" ht="139.5" customHeight="1">
      <c r="A7" s="15">
        <v>2</v>
      </c>
      <c r="B7" s="15" t="s">
        <v>37</v>
      </c>
      <c r="C7" s="16" t="s">
        <v>38</v>
      </c>
      <c r="D7" s="15" t="s">
        <v>34</v>
      </c>
      <c r="E7" s="16" t="s">
        <v>39</v>
      </c>
      <c r="F7" s="15">
        <v>3500</v>
      </c>
      <c r="G7" s="15">
        <f t="shared" si="3"/>
        <v>3500</v>
      </c>
      <c r="H7" s="15">
        <f aca="true" t="shared" si="5" ref="H7:L7">SUM(H8:H19)</f>
        <v>3500</v>
      </c>
      <c r="I7" s="15">
        <f t="shared" si="5"/>
        <v>0</v>
      </c>
      <c r="J7" s="15">
        <f t="shared" si="5"/>
        <v>0</v>
      </c>
      <c r="K7" s="15">
        <f t="shared" si="5"/>
        <v>0</v>
      </c>
      <c r="L7" s="15">
        <f t="shared" si="5"/>
        <v>0</v>
      </c>
      <c r="M7" s="15">
        <v>50</v>
      </c>
      <c r="N7" s="15">
        <f aca="true" t="shared" si="6" ref="N7:S7">SUM(N8:N19)</f>
        <v>0</v>
      </c>
      <c r="O7" s="15">
        <f t="shared" si="6"/>
        <v>0</v>
      </c>
      <c r="P7" s="15">
        <f t="shared" si="6"/>
        <v>0</v>
      </c>
      <c r="Q7" s="15">
        <f t="shared" si="6"/>
        <v>0</v>
      </c>
      <c r="R7" s="15">
        <f t="shared" si="6"/>
        <v>1641.8795</v>
      </c>
      <c r="S7" s="24">
        <f t="shared" si="6"/>
        <v>1510.682218</v>
      </c>
      <c r="T7" s="24"/>
      <c r="U7" s="24"/>
      <c r="V7" s="24"/>
      <c r="W7" s="24"/>
      <c r="X7" s="24"/>
      <c r="Y7" s="24">
        <f t="shared" si="4"/>
        <v>3152.561718</v>
      </c>
      <c r="Z7" s="42">
        <f t="shared" si="1"/>
        <v>347.4382820000001</v>
      </c>
      <c r="AA7" s="40">
        <f t="shared" si="2"/>
        <v>0.9007319194285714</v>
      </c>
      <c r="AB7" s="15" t="s">
        <v>40</v>
      </c>
      <c r="AC7" s="43"/>
    </row>
    <row r="8" spans="1:29" ht="51" customHeight="1">
      <c r="A8" s="15"/>
      <c r="B8" s="15"/>
      <c r="C8" s="16" t="s">
        <v>41</v>
      </c>
      <c r="D8" s="15"/>
      <c r="E8" s="16"/>
      <c r="F8" s="15"/>
      <c r="G8" s="15">
        <f t="shared" si="3"/>
        <v>364</v>
      </c>
      <c r="H8" s="15">
        <v>364</v>
      </c>
      <c r="I8" s="15"/>
      <c r="J8" s="15"/>
      <c r="K8" s="15"/>
      <c r="L8" s="15"/>
      <c r="M8" s="24"/>
      <c r="N8" s="24"/>
      <c r="O8" s="24"/>
      <c r="P8" s="24"/>
      <c r="Q8" s="24"/>
      <c r="R8" s="24">
        <v>169.47825</v>
      </c>
      <c r="S8" s="24">
        <v>152.530425</v>
      </c>
      <c r="T8" s="24"/>
      <c r="U8" s="24"/>
      <c r="V8" s="24"/>
      <c r="W8" s="24"/>
      <c r="X8" s="24"/>
      <c r="Y8" s="24">
        <f t="shared" si="4"/>
        <v>322.00867500000004</v>
      </c>
      <c r="Z8" s="42">
        <f t="shared" si="1"/>
        <v>41.99132499999996</v>
      </c>
      <c r="AA8" s="40">
        <f t="shared" si="2"/>
        <v>0.8846392170329671</v>
      </c>
      <c r="AB8" s="15"/>
      <c r="AC8" s="43"/>
    </row>
    <row r="9" spans="1:29" ht="51" customHeight="1">
      <c r="A9" s="15"/>
      <c r="B9" s="15"/>
      <c r="C9" s="16" t="s">
        <v>42</v>
      </c>
      <c r="D9" s="15"/>
      <c r="E9" s="16"/>
      <c r="F9" s="15"/>
      <c r="G9" s="15">
        <f t="shared" si="3"/>
        <v>240</v>
      </c>
      <c r="H9" s="15">
        <v>240</v>
      </c>
      <c r="I9" s="15"/>
      <c r="J9" s="15"/>
      <c r="K9" s="15"/>
      <c r="L9" s="15"/>
      <c r="M9" s="24"/>
      <c r="N9" s="24"/>
      <c r="O9" s="24"/>
      <c r="P9" s="24"/>
      <c r="Q9" s="24"/>
      <c r="R9" s="24">
        <v>113.3172</v>
      </c>
      <c r="S9" s="24">
        <f>69.9903+33.9951</f>
        <v>103.9854</v>
      </c>
      <c r="T9" s="24"/>
      <c r="U9" s="24"/>
      <c r="V9" s="24"/>
      <c r="W9" s="24"/>
      <c r="X9" s="24"/>
      <c r="Y9" s="24">
        <f t="shared" si="4"/>
        <v>217.30259999999998</v>
      </c>
      <c r="Z9" s="42">
        <f t="shared" si="1"/>
        <v>22.697400000000016</v>
      </c>
      <c r="AA9" s="40">
        <f t="shared" si="2"/>
        <v>0.9054274999999999</v>
      </c>
      <c r="AB9" s="15"/>
      <c r="AC9" s="43"/>
    </row>
    <row r="10" spans="1:29" ht="51" customHeight="1">
      <c r="A10" s="15"/>
      <c r="B10" s="15"/>
      <c r="C10" s="16" t="s">
        <v>43</v>
      </c>
      <c r="D10" s="15"/>
      <c r="E10" s="16"/>
      <c r="F10" s="15"/>
      <c r="G10" s="15">
        <f t="shared" si="3"/>
        <v>364</v>
      </c>
      <c r="H10" s="15">
        <v>364</v>
      </c>
      <c r="I10" s="15"/>
      <c r="J10" s="15"/>
      <c r="K10" s="15"/>
      <c r="L10" s="15"/>
      <c r="M10" s="24"/>
      <c r="N10" s="24"/>
      <c r="O10" s="24"/>
      <c r="P10" s="24"/>
      <c r="Q10" s="24"/>
      <c r="R10" s="24">
        <v>169.545</v>
      </c>
      <c r="S10" s="24">
        <v>154.5905</v>
      </c>
      <c r="T10" s="24"/>
      <c r="U10" s="24"/>
      <c r="V10" s="24"/>
      <c r="W10" s="24"/>
      <c r="X10" s="24"/>
      <c r="Y10" s="24">
        <f t="shared" si="4"/>
        <v>324.1355</v>
      </c>
      <c r="Z10" s="42">
        <f t="shared" si="1"/>
        <v>39.86450000000002</v>
      </c>
      <c r="AA10" s="40">
        <f t="shared" si="2"/>
        <v>0.8904821428571428</v>
      </c>
      <c r="AB10" s="15"/>
      <c r="AC10" s="43">
        <f>2+101.727</f>
        <v>103.727</v>
      </c>
    </row>
    <row r="11" spans="1:29" ht="51" customHeight="1">
      <c r="A11" s="16"/>
      <c r="B11" s="16"/>
      <c r="C11" s="16" t="s">
        <v>44</v>
      </c>
      <c r="D11" s="16"/>
      <c r="E11" s="16"/>
      <c r="F11" s="16"/>
      <c r="G11" s="15">
        <f t="shared" si="3"/>
        <v>364</v>
      </c>
      <c r="H11" s="15">
        <v>364</v>
      </c>
      <c r="I11" s="16"/>
      <c r="J11" s="16"/>
      <c r="K11" s="16"/>
      <c r="L11" s="16"/>
      <c r="M11" s="24"/>
      <c r="N11" s="16"/>
      <c r="O11" s="16"/>
      <c r="P11" s="16"/>
      <c r="Q11" s="16"/>
      <c r="R11" s="15">
        <v>169.9635</v>
      </c>
      <c r="S11" s="16">
        <f>103.9781+50.98905</f>
        <v>154.96715</v>
      </c>
      <c r="T11" s="16"/>
      <c r="U11" s="16"/>
      <c r="V11" s="16"/>
      <c r="W11" s="16"/>
      <c r="X11" s="16"/>
      <c r="Y11" s="24">
        <f t="shared" si="4"/>
        <v>324.93065</v>
      </c>
      <c r="Z11" s="42">
        <f t="shared" si="1"/>
        <v>39.069349999999986</v>
      </c>
      <c r="AA11" s="40">
        <f t="shared" si="2"/>
        <v>0.892666620879121</v>
      </c>
      <c r="AB11" s="16"/>
      <c r="AC11" s="43"/>
    </row>
    <row r="12" spans="1:29" ht="51" customHeight="1">
      <c r="A12" s="15"/>
      <c r="B12" s="15"/>
      <c r="C12" s="16" t="s">
        <v>45</v>
      </c>
      <c r="D12" s="15"/>
      <c r="E12" s="16"/>
      <c r="F12" s="15"/>
      <c r="G12" s="15">
        <f t="shared" si="3"/>
        <v>240</v>
      </c>
      <c r="H12" s="15">
        <v>240</v>
      </c>
      <c r="I12" s="15"/>
      <c r="J12" s="15"/>
      <c r="K12" s="15"/>
      <c r="L12" s="15"/>
      <c r="M12" s="24"/>
      <c r="N12" s="24"/>
      <c r="O12" s="24"/>
      <c r="P12" s="24"/>
      <c r="Q12" s="24"/>
      <c r="R12" s="24">
        <v>113.5375</v>
      </c>
      <c r="S12" s="24">
        <f>2+68.1225+34.06125</f>
        <v>104.18375</v>
      </c>
      <c r="T12" s="24"/>
      <c r="U12" s="24"/>
      <c r="V12" s="24"/>
      <c r="W12" s="24"/>
      <c r="X12" s="24"/>
      <c r="Y12" s="24">
        <f t="shared" si="4"/>
        <v>217.72125</v>
      </c>
      <c r="Z12" s="42">
        <f t="shared" si="1"/>
        <v>22.278750000000002</v>
      </c>
      <c r="AA12" s="40">
        <f t="shared" si="2"/>
        <v>0.907171875</v>
      </c>
      <c r="AB12" s="15"/>
      <c r="AC12" s="43"/>
    </row>
    <row r="13" spans="1:29" ht="51" customHeight="1">
      <c r="A13" s="15"/>
      <c r="B13" s="15"/>
      <c r="C13" s="16" t="s">
        <v>46</v>
      </c>
      <c r="D13" s="15"/>
      <c r="E13" s="16"/>
      <c r="F13" s="15"/>
      <c r="G13" s="15">
        <f t="shared" si="3"/>
        <v>364</v>
      </c>
      <c r="H13" s="15">
        <v>364</v>
      </c>
      <c r="I13" s="15"/>
      <c r="J13" s="15"/>
      <c r="K13" s="15"/>
      <c r="L13" s="15"/>
      <c r="M13" s="24"/>
      <c r="N13" s="24"/>
      <c r="O13" s="24"/>
      <c r="P13" s="24"/>
      <c r="Q13" s="24"/>
      <c r="R13" s="24">
        <v>169.69995</v>
      </c>
      <c r="S13" s="24">
        <v>159.517953</v>
      </c>
      <c r="T13" s="24"/>
      <c r="U13" s="24"/>
      <c r="V13" s="24"/>
      <c r="W13" s="24"/>
      <c r="X13" s="24"/>
      <c r="Y13" s="24">
        <f t="shared" si="4"/>
        <v>329.217903</v>
      </c>
      <c r="Z13" s="42">
        <f t="shared" si="1"/>
        <v>34.78209700000002</v>
      </c>
      <c r="AA13" s="40">
        <f t="shared" si="2"/>
        <v>0.9044447884615384</v>
      </c>
      <c r="AB13" s="15"/>
      <c r="AC13" s="43">
        <v>109.4022</v>
      </c>
    </row>
    <row r="14" spans="1:29" ht="51" customHeight="1">
      <c r="A14" s="15"/>
      <c r="B14" s="15"/>
      <c r="C14" s="16" t="s">
        <v>47</v>
      </c>
      <c r="D14" s="15"/>
      <c r="E14" s="16"/>
      <c r="F14" s="15"/>
      <c r="G14" s="15">
        <f t="shared" si="3"/>
        <v>364</v>
      </c>
      <c r="H14" s="15">
        <v>364</v>
      </c>
      <c r="I14" s="15"/>
      <c r="J14" s="15"/>
      <c r="K14" s="15"/>
      <c r="L14" s="15"/>
      <c r="M14" s="24"/>
      <c r="N14" s="24"/>
      <c r="O14" s="24"/>
      <c r="P14" s="24"/>
      <c r="Q14" s="24"/>
      <c r="R14" s="24">
        <v>169.9983</v>
      </c>
      <c r="S14" s="24">
        <f>2+109.2018+49.9995</f>
        <v>161.2013</v>
      </c>
      <c r="T14" s="24"/>
      <c r="U14" s="24"/>
      <c r="V14" s="24"/>
      <c r="W14" s="24"/>
      <c r="X14" s="24"/>
      <c r="Y14" s="24">
        <f t="shared" si="4"/>
        <v>331.19960000000003</v>
      </c>
      <c r="Z14" s="42">
        <f t="shared" si="1"/>
        <v>32.80039999999997</v>
      </c>
      <c r="AA14" s="40">
        <f t="shared" si="2"/>
        <v>0.9098890109890111</v>
      </c>
      <c r="AB14" s="15"/>
      <c r="AC14" s="43"/>
    </row>
    <row r="15" spans="1:29" ht="51" customHeight="1">
      <c r="A15" s="15"/>
      <c r="B15" s="15"/>
      <c r="C15" s="16" t="s">
        <v>48</v>
      </c>
      <c r="D15" s="15"/>
      <c r="E15" s="16"/>
      <c r="F15" s="15"/>
      <c r="G15" s="15">
        <f t="shared" si="3"/>
        <v>240</v>
      </c>
      <c r="H15" s="15">
        <v>240</v>
      </c>
      <c r="I15" s="15"/>
      <c r="J15" s="15"/>
      <c r="K15" s="15"/>
      <c r="L15" s="15"/>
      <c r="M15" s="24"/>
      <c r="N15" s="24"/>
      <c r="O15" s="24"/>
      <c r="P15" s="24"/>
      <c r="Q15" s="24"/>
      <c r="R15" s="24">
        <v>113.396</v>
      </c>
      <c r="S15" s="24">
        <v>104.0564</v>
      </c>
      <c r="T15" s="24"/>
      <c r="U15" s="24"/>
      <c r="V15" s="24"/>
      <c r="W15" s="24"/>
      <c r="X15" s="24"/>
      <c r="Y15" s="24">
        <f t="shared" si="4"/>
        <v>217.4524</v>
      </c>
      <c r="Z15" s="42">
        <f t="shared" si="1"/>
        <v>22.54759999999999</v>
      </c>
      <c r="AA15" s="40">
        <f t="shared" si="2"/>
        <v>0.9060516666666667</v>
      </c>
      <c r="AB15" s="15"/>
      <c r="AC15" s="43"/>
    </row>
    <row r="16" spans="1:29" ht="51" customHeight="1">
      <c r="A16" s="15"/>
      <c r="B16" s="15"/>
      <c r="C16" s="16" t="s">
        <v>49</v>
      </c>
      <c r="D16" s="15"/>
      <c r="E16" s="16"/>
      <c r="F16" s="15"/>
      <c r="G16" s="15">
        <f t="shared" si="3"/>
        <v>240</v>
      </c>
      <c r="H16" s="15">
        <v>240</v>
      </c>
      <c r="I16" s="15"/>
      <c r="J16" s="15"/>
      <c r="K16" s="15"/>
      <c r="L16" s="15"/>
      <c r="M16" s="24"/>
      <c r="N16" s="24"/>
      <c r="O16" s="24"/>
      <c r="P16" s="24"/>
      <c r="Q16" s="24"/>
      <c r="R16" s="24">
        <v>113.6021</v>
      </c>
      <c r="S16" s="24">
        <v>104.24189</v>
      </c>
      <c r="T16" s="24"/>
      <c r="U16" s="24"/>
      <c r="V16" s="24"/>
      <c r="W16" s="24"/>
      <c r="X16" s="24"/>
      <c r="Y16" s="24">
        <f t="shared" si="4"/>
        <v>217.84399</v>
      </c>
      <c r="Z16" s="42">
        <f t="shared" si="1"/>
        <v>22.15601000000001</v>
      </c>
      <c r="AA16" s="40">
        <f t="shared" si="2"/>
        <v>0.9076832916666666</v>
      </c>
      <c r="AB16" s="15"/>
      <c r="AC16" s="43">
        <f>2+68.16126</f>
        <v>70.16126</v>
      </c>
    </row>
    <row r="17" spans="1:29" ht="51" customHeight="1">
      <c r="A17" s="15"/>
      <c r="B17" s="15"/>
      <c r="C17" s="16" t="s">
        <v>50</v>
      </c>
      <c r="D17" s="15"/>
      <c r="E17" s="16"/>
      <c r="F17" s="15"/>
      <c r="G17" s="15">
        <f t="shared" si="3"/>
        <v>240</v>
      </c>
      <c r="H17" s="15">
        <v>240</v>
      </c>
      <c r="I17" s="15"/>
      <c r="J17" s="15"/>
      <c r="K17" s="15"/>
      <c r="L17" s="15"/>
      <c r="M17" s="24"/>
      <c r="N17" s="24"/>
      <c r="O17" s="24"/>
      <c r="P17" s="24"/>
      <c r="Q17" s="24"/>
      <c r="R17" s="24">
        <v>113.1236</v>
      </c>
      <c r="S17" s="24">
        <f>67.87416+2+33.937</f>
        <v>103.81116</v>
      </c>
      <c r="T17" s="24"/>
      <c r="U17" s="24"/>
      <c r="V17" s="24"/>
      <c r="W17" s="24"/>
      <c r="X17" s="24"/>
      <c r="Y17" s="24">
        <f t="shared" si="4"/>
        <v>216.93475999999998</v>
      </c>
      <c r="Z17" s="42">
        <f t="shared" si="1"/>
        <v>23.065240000000017</v>
      </c>
      <c r="AA17" s="40">
        <f t="shared" si="2"/>
        <v>0.9038948333333333</v>
      </c>
      <c r="AB17" s="15"/>
      <c r="AC17" s="43"/>
    </row>
    <row r="18" spans="1:29" ht="51" customHeight="1">
      <c r="A18" s="15"/>
      <c r="B18" s="15"/>
      <c r="C18" s="16" t="s">
        <v>51</v>
      </c>
      <c r="D18" s="15"/>
      <c r="E18" s="16"/>
      <c r="F18" s="15"/>
      <c r="G18" s="15">
        <f t="shared" si="3"/>
        <v>240</v>
      </c>
      <c r="H18" s="15">
        <v>240</v>
      </c>
      <c r="I18" s="15"/>
      <c r="J18" s="15"/>
      <c r="K18" s="15"/>
      <c r="L18" s="15"/>
      <c r="M18" s="24"/>
      <c r="N18" s="24"/>
      <c r="O18" s="24"/>
      <c r="P18" s="24"/>
      <c r="Q18" s="24"/>
      <c r="R18" s="24">
        <v>113.1255</v>
      </c>
      <c r="S18" s="24">
        <f>69.8753+33.93765</f>
        <v>103.81295</v>
      </c>
      <c r="T18" s="24"/>
      <c r="U18" s="24"/>
      <c r="V18" s="24"/>
      <c r="W18" s="24"/>
      <c r="X18" s="24"/>
      <c r="Y18" s="24">
        <f t="shared" si="4"/>
        <v>216.93845</v>
      </c>
      <c r="Z18" s="42">
        <f t="shared" si="1"/>
        <v>23.06155000000001</v>
      </c>
      <c r="AA18" s="40">
        <f t="shared" si="2"/>
        <v>0.9039102083333332</v>
      </c>
      <c r="AB18" s="15"/>
      <c r="AC18" s="43"/>
    </row>
    <row r="19" spans="1:29" ht="51" customHeight="1">
      <c r="A19" s="15"/>
      <c r="B19" s="15"/>
      <c r="C19" s="16" t="s">
        <v>52</v>
      </c>
      <c r="D19" s="15"/>
      <c r="E19" s="16"/>
      <c r="F19" s="15"/>
      <c r="G19" s="15">
        <f t="shared" si="3"/>
        <v>240</v>
      </c>
      <c r="H19" s="15">
        <v>240</v>
      </c>
      <c r="I19" s="15"/>
      <c r="J19" s="15"/>
      <c r="K19" s="15"/>
      <c r="L19" s="15"/>
      <c r="M19" s="24"/>
      <c r="N19" s="24"/>
      <c r="O19" s="24"/>
      <c r="P19" s="24"/>
      <c r="Q19" s="24"/>
      <c r="R19" s="24">
        <v>113.0926</v>
      </c>
      <c r="S19" s="24">
        <v>103.78334</v>
      </c>
      <c r="T19" s="24"/>
      <c r="U19" s="24"/>
      <c r="V19" s="24"/>
      <c r="W19" s="24"/>
      <c r="X19" s="24"/>
      <c r="Y19" s="24">
        <f t="shared" si="4"/>
        <v>216.87594</v>
      </c>
      <c r="Z19" s="42">
        <f t="shared" si="1"/>
        <v>23.124059999999986</v>
      </c>
      <c r="AA19" s="40">
        <f t="shared" si="2"/>
        <v>0.90364975</v>
      </c>
      <c r="AB19" s="15"/>
      <c r="AC19" s="43"/>
    </row>
    <row r="20" spans="1:29" ht="51" customHeight="1">
      <c r="A20" s="15">
        <v>3</v>
      </c>
      <c r="B20" s="15" t="s">
        <v>53</v>
      </c>
      <c r="C20" s="17" t="s">
        <v>54</v>
      </c>
      <c r="D20" s="15" t="s">
        <v>34</v>
      </c>
      <c r="E20" s="16" t="s">
        <v>55</v>
      </c>
      <c r="F20" s="15">
        <v>9300</v>
      </c>
      <c r="G20" s="15">
        <f t="shared" si="3"/>
        <v>7861.24</v>
      </c>
      <c r="H20" s="15">
        <f>4300+3453.24+108</f>
        <v>7861.24</v>
      </c>
      <c r="I20" s="15"/>
      <c r="J20" s="15"/>
      <c r="K20" s="15"/>
      <c r="L20" s="15"/>
      <c r="M20" s="24"/>
      <c r="N20" s="24"/>
      <c r="O20" s="25">
        <f>2595.484091+112.414194</f>
        <v>2707.8982849999998</v>
      </c>
      <c r="P20" s="24">
        <f>714.263368+629.976017+2727.369669</f>
        <v>4071.609054</v>
      </c>
      <c r="Q20" s="24"/>
      <c r="R20" s="24">
        <f>793.73266+180.000001</f>
        <v>973.732661</v>
      </c>
      <c r="S20" s="24">
        <v>108</v>
      </c>
      <c r="T20" s="24"/>
      <c r="U20" s="24"/>
      <c r="V20" s="24"/>
      <c r="W20" s="24"/>
      <c r="X20" s="24"/>
      <c r="Y20" s="24">
        <f t="shared" si="4"/>
        <v>7861.24</v>
      </c>
      <c r="Z20" s="42">
        <f t="shared" si="1"/>
        <v>0</v>
      </c>
      <c r="AA20" s="40">
        <f t="shared" si="2"/>
        <v>1</v>
      </c>
      <c r="AB20" s="15" t="s">
        <v>56</v>
      </c>
      <c r="AC20" s="43"/>
    </row>
    <row r="21" spans="1:29" ht="51" customHeight="1">
      <c r="A21" s="15">
        <v>4</v>
      </c>
      <c r="B21" s="15" t="s">
        <v>57</v>
      </c>
      <c r="C21" s="16" t="s">
        <v>58</v>
      </c>
      <c r="D21" s="15" t="s">
        <v>34</v>
      </c>
      <c r="E21" s="16" t="s">
        <v>59</v>
      </c>
      <c r="F21" s="15">
        <v>1390</v>
      </c>
      <c r="G21" s="15">
        <f t="shared" si="3"/>
        <v>1390</v>
      </c>
      <c r="H21" s="15">
        <v>1390</v>
      </c>
      <c r="I21" s="15"/>
      <c r="J21" s="15"/>
      <c r="K21" s="15"/>
      <c r="L21" s="15"/>
      <c r="M21" s="24"/>
      <c r="N21" s="24"/>
      <c r="O21" s="24">
        <v>1387</v>
      </c>
      <c r="P21" s="24"/>
      <c r="Q21" s="24"/>
      <c r="R21" s="24"/>
      <c r="S21" s="24"/>
      <c r="T21" s="24"/>
      <c r="U21" s="24"/>
      <c r="V21" s="24"/>
      <c r="W21" s="24"/>
      <c r="X21" s="24"/>
      <c r="Y21" s="24">
        <f t="shared" si="4"/>
        <v>1387</v>
      </c>
      <c r="Z21" s="42">
        <f t="shared" si="1"/>
        <v>3</v>
      </c>
      <c r="AA21" s="40">
        <f t="shared" si="2"/>
        <v>0.9978417266187051</v>
      </c>
      <c r="AB21" s="15" t="s">
        <v>56</v>
      </c>
      <c r="AC21" s="43"/>
    </row>
    <row r="22" spans="1:29" ht="51" customHeight="1">
      <c r="A22" s="15">
        <v>5</v>
      </c>
      <c r="B22" s="15" t="s">
        <v>60</v>
      </c>
      <c r="C22" s="16" t="s">
        <v>61</v>
      </c>
      <c r="D22" s="15" t="s">
        <v>34</v>
      </c>
      <c r="E22" s="16" t="s">
        <v>62</v>
      </c>
      <c r="F22" s="15">
        <v>85.26</v>
      </c>
      <c r="G22" s="15">
        <f t="shared" si="3"/>
        <v>85.26</v>
      </c>
      <c r="H22" s="15">
        <v>85.26</v>
      </c>
      <c r="I22" s="15"/>
      <c r="J22" s="15"/>
      <c r="K22" s="15"/>
      <c r="L22" s="15"/>
      <c r="M22" s="24"/>
      <c r="N22" s="24"/>
      <c r="O22" s="24">
        <v>45.26</v>
      </c>
      <c r="P22" s="24">
        <v>40</v>
      </c>
      <c r="Q22" s="24"/>
      <c r="R22" s="24"/>
      <c r="S22" s="24"/>
      <c r="T22" s="24"/>
      <c r="U22" s="24"/>
      <c r="V22" s="24"/>
      <c r="W22" s="24"/>
      <c r="X22" s="24"/>
      <c r="Y22" s="24">
        <f t="shared" si="4"/>
        <v>85.25999999999999</v>
      </c>
      <c r="Z22" s="42">
        <f t="shared" si="1"/>
        <v>0</v>
      </c>
      <c r="AA22" s="40">
        <f t="shared" si="2"/>
        <v>0.9999999999999998</v>
      </c>
      <c r="AB22" s="15" t="s">
        <v>56</v>
      </c>
      <c r="AC22" s="43"/>
    </row>
    <row r="23" spans="1:29" ht="51" customHeight="1">
      <c r="A23" s="15">
        <v>6</v>
      </c>
      <c r="B23" s="15" t="s">
        <v>63</v>
      </c>
      <c r="C23" s="16" t="s">
        <v>64</v>
      </c>
      <c r="D23" s="15" t="s">
        <v>34</v>
      </c>
      <c r="E23" s="16" t="s">
        <v>65</v>
      </c>
      <c r="F23" s="15">
        <v>1500</v>
      </c>
      <c r="G23" s="15">
        <f t="shared" si="3"/>
        <v>1500</v>
      </c>
      <c r="H23" s="15">
        <v>1237.5</v>
      </c>
      <c r="I23" s="15"/>
      <c r="J23" s="15"/>
      <c r="K23" s="15">
        <v>262.5</v>
      </c>
      <c r="L23" s="15"/>
      <c r="M23" s="26"/>
      <c r="N23" s="26">
        <v>434.594028</v>
      </c>
      <c r="O23" s="26">
        <f>434.594028+4.5+1</f>
        <v>440.094028</v>
      </c>
      <c r="P23" s="26">
        <v>436.76699</v>
      </c>
      <c r="Q23" s="26">
        <v>106.475514</v>
      </c>
      <c r="R23" s="27">
        <f>43.459408+6</f>
        <v>49.459408</v>
      </c>
      <c r="S23" s="27"/>
      <c r="T23" s="27"/>
      <c r="U23" s="27"/>
      <c r="V23" s="27"/>
      <c r="W23" s="27"/>
      <c r="X23" s="27"/>
      <c r="Y23" s="24">
        <f t="shared" si="4"/>
        <v>1467.389968</v>
      </c>
      <c r="Z23" s="42">
        <f t="shared" si="1"/>
        <v>32.61003200000005</v>
      </c>
      <c r="AA23" s="40">
        <f t="shared" si="2"/>
        <v>0.9782599786666666</v>
      </c>
      <c r="AB23" s="44" t="s">
        <v>66</v>
      </c>
      <c r="AC23" s="43"/>
    </row>
    <row r="24" spans="1:29" ht="51" customHeight="1">
      <c r="A24" s="15">
        <v>7</v>
      </c>
      <c r="B24" s="15" t="s">
        <v>67</v>
      </c>
      <c r="C24" s="16" t="s">
        <v>68</v>
      </c>
      <c r="D24" s="15" t="s">
        <v>34</v>
      </c>
      <c r="E24" s="16" t="s">
        <v>69</v>
      </c>
      <c r="F24" s="15">
        <v>1500</v>
      </c>
      <c r="G24" s="15">
        <f t="shared" si="3"/>
        <v>1500</v>
      </c>
      <c r="H24" s="15">
        <v>1500</v>
      </c>
      <c r="I24" s="15"/>
      <c r="J24" s="15"/>
      <c r="K24" s="15"/>
      <c r="L24" s="15"/>
      <c r="M24" s="26"/>
      <c r="N24" s="26"/>
      <c r="O24" s="26"/>
      <c r="P24" s="26"/>
      <c r="Q24" s="26"/>
      <c r="R24" s="27"/>
      <c r="S24" s="27"/>
      <c r="T24" s="27"/>
      <c r="U24" s="27"/>
      <c r="V24" s="27"/>
      <c r="W24" s="27"/>
      <c r="X24" s="27"/>
      <c r="Y24" s="24">
        <f t="shared" si="4"/>
        <v>0</v>
      </c>
      <c r="Z24" s="42">
        <f t="shared" si="1"/>
        <v>1500</v>
      </c>
      <c r="AA24" s="40">
        <f t="shared" si="2"/>
        <v>0</v>
      </c>
      <c r="AB24" s="44" t="s">
        <v>66</v>
      </c>
      <c r="AC24" s="43" t="s">
        <v>70</v>
      </c>
    </row>
    <row r="25" spans="1:29" ht="51" customHeight="1">
      <c r="A25" s="15">
        <v>8</v>
      </c>
      <c r="B25" s="15" t="s">
        <v>71</v>
      </c>
      <c r="C25" s="16" t="s">
        <v>72</v>
      </c>
      <c r="D25" s="15" t="s">
        <v>34</v>
      </c>
      <c r="E25" s="16" t="s">
        <v>73</v>
      </c>
      <c r="F25" s="15">
        <v>930</v>
      </c>
      <c r="G25" s="15">
        <f t="shared" si="3"/>
        <v>930</v>
      </c>
      <c r="H25" s="15">
        <v>930</v>
      </c>
      <c r="I25" s="15"/>
      <c r="J25" s="15"/>
      <c r="K25" s="15"/>
      <c r="L25" s="15"/>
      <c r="M25" s="26"/>
      <c r="N25" s="26"/>
      <c r="O25" s="26">
        <f>483.4+27.5+8</f>
        <v>518.9</v>
      </c>
      <c r="P25" s="26">
        <v>27.5</v>
      </c>
      <c r="Q25" s="27">
        <v>219.214462</v>
      </c>
      <c r="R25" s="27">
        <v>156.64</v>
      </c>
      <c r="S25" s="27"/>
      <c r="T25" s="27"/>
      <c r="U25" s="27"/>
      <c r="V25" s="27"/>
      <c r="W25" s="27"/>
      <c r="X25" s="27"/>
      <c r="Y25" s="24">
        <f t="shared" si="4"/>
        <v>922.254462</v>
      </c>
      <c r="Z25" s="42">
        <f t="shared" si="1"/>
        <v>7.7455380000000105</v>
      </c>
      <c r="AA25" s="40">
        <f t="shared" si="2"/>
        <v>0.991671464516129</v>
      </c>
      <c r="AB25" s="44" t="s">
        <v>66</v>
      </c>
      <c r="AC25" s="43"/>
    </row>
    <row r="26" spans="1:29" ht="51" customHeight="1">
      <c r="A26" s="15">
        <v>9</v>
      </c>
      <c r="B26" s="15" t="s">
        <v>74</v>
      </c>
      <c r="C26" s="16" t="s">
        <v>75</v>
      </c>
      <c r="D26" s="15" t="s">
        <v>34</v>
      </c>
      <c r="E26" s="16" t="s">
        <v>76</v>
      </c>
      <c r="F26" s="15">
        <v>8000</v>
      </c>
      <c r="G26" s="15">
        <f t="shared" si="3"/>
        <v>4688.57862</v>
      </c>
      <c r="H26" s="15">
        <f>4000+688.57862</f>
        <v>4688.57862</v>
      </c>
      <c r="I26" s="15"/>
      <c r="J26" s="15"/>
      <c r="K26" s="15"/>
      <c r="L26" s="15"/>
      <c r="M26" s="27">
        <v>640</v>
      </c>
      <c r="N26" s="27"/>
      <c r="O26" s="27"/>
      <c r="P26" s="27"/>
      <c r="Q26" s="27"/>
      <c r="R26" s="27">
        <v>2344.28931</v>
      </c>
      <c r="S26" s="27">
        <v>2344.28931</v>
      </c>
      <c r="T26" s="27"/>
      <c r="U26" s="27"/>
      <c r="V26" s="27"/>
      <c r="W26" s="27"/>
      <c r="X26" s="27"/>
      <c r="Y26" s="24">
        <f t="shared" si="4"/>
        <v>4688.57862</v>
      </c>
      <c r="Z26" s="42">
        <f t="shared" si="1"/>
        <v>0</v>
      </c>
      <c r="AA26" s="40">
        <f t="shared" si="2"/>
        <v>1</v>
      </c>
      <c r="AB26" s="44" t="s">
        <v>66</v>
      </c>
      <c r="AC26" s="43"/>
    </row>
    <row r="27" spans="1:29" ht="51" customHeight="1">
      <c r="A27" s="15">
        <v>10</v>
      </c>
      <c r="B27" s="15"/>
      <c r="C27" s="16" t="s">
        <v>77</v>
      </c>
      <c r="D27" s="15" t="s">
        <v>34</v>
      </c>
      <c r="E27" s="16" t="s">
        <v>78</v>
      </c>
      <c r="F27" s="15">
        <v>2000</v>
      </c>
      <c r="G27" s="15">
        <f t="shared" si="3"/>
        <v>2000</v>
      </c>
      <c r="H27" s="15">
        <v>2000</v>
      </c>
      <c r="I27" s="15"/>
      <c r="J27" s="15"/>
      <c r="K27" s="15"/>
      <c r="L27" s="15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4">
        <f t="shared" si="4"/>
        <v>0</v>
      </c>
      <c r="Z27" s="42">
        <f t="shared" si="1"/>
        <v>2000</v>
      </c>
      <c r="AA27" s="40">
        <f t="shared" si="2"/>
        <v>0</v>
      </c>
      <c r="AB27" s="44" t="s">
        <v>66</v>
      </c>
      <c r="AC27" s="43" t="s">
        <v>79</v>
      </c>
    </row>
    <row r="28" spans="1:29" ht="139.5" customHeight="1">
      <c r="A28" s="15">
        <v>11</v>
      </c>
      <c r="B28" s="15" t="s">
        <v>80</v>
      </c>
      <c r="C28" s="16" t="s">
        <v>81</v>
      </c>
      <c r="D28" s="15" t="s">
        <v>34</v>
      </c>
      <c r="E28" s="16" t="s">
        <v>82</v>
      </c>
      <c r="F28" s="15">
        <v>2783</v>
      </c>
      <c r="G28" s="15">
        <f t="shared" si="3"/>
        <v>2783</v>
      </c>
      <c r="H28" s="15">
        <f aca="true" t="shared" si="7" ref="H28:L28">SUM(H29:H36)</f>
        <v>2783</v>
      </c>
      <c r="I28" s="15">
        <f t="shared" si="7"/>
        <v>0</v>
      </c>
      <c r="J28" s="15">
        <f t="shared" si="7"/>
        <v>0</v>
      </c>
      <c r="K28" s="15">
        <f t="shared" si="7"/>
        <v>0</v>
      </c>
      <c r="L28" s="15">
        <f t="shared" si="7"/>
        <v>0</v>
      </c>
      <c r="M28" s="15">
        <v>300</v>
      </c>
      <c r="N28" s="28">
        <f aca="true" t="shared" si="8" ref="N28:X28">SUM(N29:N36)</f>
        <v>0</v>
      </c>
      <c r="O28" s="28">
        <f t="shared" si="8"/>
        <v>12.756</v>
      </c>
      <c r="P28" s="28">
        <f t="shared" si="8"/>
        <v>102.03</v>
      </c>
      <c r="Q28" s="28">
        <f t="shared" si="8"/>
        <v>573.541989</v>
      </c>
      <c r="R28" s="28">
        <f t="shared" si="8"/>
        <v>1069.16893</v>
      </c>
      <c r="S28" s="28">
        <f t="shared" si="8"/>
        <v>478.945147</v>
      </c>
      <c r="T28" s="28">
        <f t="shared" si="8"/>
        <v>0</v>
      </c>
      <c r="U28" s="28">
        <f t="shared" si="8"/>
        <v>0</v>
      </c>
      <c r="V28" s="28">
        <f t="shared" si="8"/>
        <v>0</v>
      </c>
      <c r="W28" s="28">
        <f t="shared" si="8"/>
        <v>0</v>
      </c>
      <c r="X28" s="28">
        <f t="shared" si="8"/>
        <v>0</v>
      </c>
      <c r="Y28" s="24">
        <f t="shared" si="4"/>
        <v>2236.442066</v>
      </c>
      <c r="Z28" s="42">
        <f t="shared" si="1"/>
        <v>546.5579339999999</v>
      </c>
      <c r="AA28" s="40">
        <f t="shared" si="2"/>
        <v>0.803608360043119</v>
      </c>
      <c r="AB28" s="44" t="s">
        <v>83</v>
      </c>
      <c r="AC28" s="43"/>
    </row>
    <row r="29" spans="1:29" ht="58.5" customHeight="1">
      <c r="A29" s="15"/>
      <c r="B29" s="15"/>
      <c r="C29" s="16" t="s">
        <v>84</v>
      </c>
      <c r="D29" s="15"/>
      <c r="E29" s="16" t="s">
        <v>84</v>
      </c>
      <c r="F29" s="15"/>
      <c r="G29" s="15">
        <f t="shared" si="3"/>
        <v>330</v>
      </c>
      <c r="H29" s="15">
        <v>330</v>
      </c>
      <c r="I29" s="15"/>
      <c r="J29" s="15"/>
      <c r="K29" s="15"/>
      <c r="L29" s="15"/>
      <c r="M29" s="28"/>
      <c r="N29" s="28"/>
      <c r="O29" s="28"/>
      <c r="P29" s="28">
        <v>102.03</v>
      </c>
      <c r="Q29" s="28">
        <v>90.96</v>
      </c>
      <c r="R29" s="27">
        <v>114.92</v>
      </c>
      <c r="S29" s="31">
        <v>20.666564</v>
      </c>
      <c r="T29" s="31"/>
      <c r="U29" s="31"/>
      <c r="V29" s="31"/>
      <c r="W29" s="31"/>
      <c r="X29" s="31"/>
      <c r="Y29" s="24">
        <f t="shared" si="4"/>
        <v>328.576564</v>
      </c>
      <c r="Z29" s="42">
        <f t="shared" si="1"/>
        <v>1.423435999999981</v>
      </c>
      <c r="AA29" s="40">
        <f t="shared" si="2"/>
        <v>0.9956865575757576</v>
      </c>
      <c r="AB29" s="44"/>
      <c r="AC29" s="43"/>
    </row>
    <row r="30" spans="1:29" ht="58.5" customHeight="1">
      <c r="A30" s="15"/>
      <c r="B30" s="15"/>
      <c r="C30" s="16" t="s">
        <v>42</v>
      </c>
      <c r="D30" s="15"/>
      <c r="E30" s="16" t="s">
        <v>85</v>
      </c>
      <c r="F30" s="15"/>
      <c r="G30" s="15">
        <f t="shared" si="3"/>
        <v>480</v>
      </c>
      <c r="H30" s="15">
        <v>480</v>
      </c>
      <c r="I30" s="15"/>
      <c r="J30" s="15"/>
      <c r="K30" s="15"/>
      <c r="L30" s="15"/>
      <c r="M30" s="27">
        <v>133</v>
      </c>
      <c r="N30" s="27"/>
      <c r="O30" s="27"/>
      <c r="P30" s="27"/>
      <c r="Q30" s="27"/>
      <c r="R30" s="27">
        <f>7.8681+18.123+133.3448</f>
        <v>159.33589999999998</v>
      </c>
      <c r="S30" s="31">
        <v>133.3448</v>
      </c>
      <c r="T30" s="31"/>
      <c r="U30" s="31"/>
      <c r="V30" s="31"/>
      <c r="W30" s="31"/>
      <c r="X30" s="31"/>
      <c r="Y30" s="24">
        <f t="shared" si="4"/>
        <v>292.6807</v>
      </c>
      <c r="Z30" s="42">
        <f t="shared" si="1"/>
        <v>187.3193</v>
      </c>
      <c r="AA30" s="40">
        <f t="shared" si="2"/>
        <v>0.6097514583333333</v>
      </c>
      <c r="AB30" s="44"/>
      <c r="AC30" s="43"/>
    </row>
    <row r="31" spans="1:29" ht="58.5" customHeight="1">
      <c r="A31" s="15"/>
      <c r="B31" s="15"/>
      <c r="C31" s="16" t="s">
        <v>43</v>
      </c>
      <c r="D31" s="15"/>
      <c r="E31" s="16" t="s">
        <v>86</v>
      </c>
      <c r="F31" s="15"/>
      <c r="G31" s="15">
        <f t="shared" si="3"/>
        <v>330</v>
      </c>
      <c r="H31" s="15">
        <v>330</v>
      </c>
      <c r="I31" s="15"/>
      <c r="J31" s="15"/>
      <c r="K31" s="15"/>
      <c r="L31" s="15"/>
      <c r="M31" s="27"/>
      <c r="N31" s="27"/>
      <c r="O31" s="27"/>
      <c r="P31" s="27"/>
      <c r="Q31" s="27">
        <v>88.36736</v>
      </c>
      <c r="R31" s="27">
        <f>2.3934+99.87166</f>
        <v>102.26506</v>
      </c>
      <c r="S31" s="31">
        <v>103.70996</v>
      </c>
      <c r="T31" s="31"/>
      <c r="U31" s="31"/>
      <c r="V31" s="31"/>
      <c r="W31" s="31"/>
      <c r="X31" s="31"/>
      <c r="Y31" s="24">
        <f t="shared" si="4"/>
        <v>294.34238000000005</v>
      </c>
      <c r="Z31" s="42">
        <f t="shared" si="1"/>
        <v>35.65761999999995</v>
      </c>
      <c r="AA31" s="40">
        <f t="shared" si="2"/>
        <v>0.8919466060606062</v>
      </c>
      <c r="AB31" s="44"/>
      <c r="AC31" s="43">
        <v>103.71356</v>
      </c>
    </row>
    <row r="32" spans="1:29" ht="58.5" customHeight="1">
      <c r="A32" s="15"/>
      <c r="B32" s="15"/>
      <c r="C32" s="16" t="s">
        <v>45</v>
      </c>
      <c r="D32" s="15"/>
      <c r="E32" s="16" t="s">
        <v>87</v>
      </c>
      <c r="F32" s="15"/>
      <c r="G32" s="15">
        <f t="shared" si="3"/>
        <v>390</v>
      </c>
      <c r="H32" s="15">
        <v>390</v>
      </c>
      <c r="I32" s="15"/>
      <c r="J32" s="15"/>
      <c r="K32" s="15"/>
      <c r="L32" s="15"/>
      <c r="M32" s="27"/>
      <c r="N32" s="27"/>
      <c r="O32" s="27"/>
      <c r="P32" s="27"/>
      <c r="Q32" s="27">
        <v>107.2842</v>
      </c>
      <c r="R32" s="27">
        <v>125.2204</v>
      </c>
      <c r="S32" s="31">
        <v>82.5346</v>
      </c>
      <c r="T32" s="31"/>
      <c r="U32" s="31"/>
      <c r="V32" s="31"/>
      <c r="W32" s="31"/>
      <c r="X32" s="31"/>
      <c r="Y32" s="24">
        <f t="shared" si="4"/>
        <v>315.0392</v>
      </c>
      <c r="Z32" s="42">
        <f t="shared" si="1"/>
        <v>74.9608</v>
      </c>
      <c r="AA32" s="40">
        <f t="shared" si="2"/>
        <v>0.8077928205128205</v>
      </c>
      <c r="AB32" s="44"/>
      <c r="AC32" s="43"/>
    </row>
    <row r="33" spans="1:29" ht="58.5" customHeight="1">
      <c r="A33" s="15"/>
      <c r="B33" s="15"/>
      <c r="C33" s="16" t="s">
        <v>46</v>
      </c>
      <c r="D33" s="15"/>
      <c r="E33" s="16" t="s">
        <v>88</v>
      </c>
      <c r="F33" s="15"/>
      <c r="G33" s="15">
        <f t="shared" si="3"/>
        <v>390</v>
      </c>
      <c r="H33" s="15">
        <v>390</v>
      </c>
      <c r="I33" s="15"/>
      <c r="J33" s="15"/>
      <c r="K33" s="15"/>
      <c r="L33" s="15"/>
      <c r="M33" s="27"/>
      <c r="N33" s="27"/>
      <c r="O33" s="27"/>
      <c r="P33" s="27"/>
      <c r="Q33" s="27">
        <v>112.3616</v>
      </c>
      <c r="R33" s="27">
        <v>187.26932</v>
      </c>
      <c r="S33" s="31"/>
      <c r="T33" s="31"/>
      <c r="U33" s="31"/>
      <c r="V33" s="31"/>
      <c r="W33" s="31"/>
      <c r="X33" s="31"/>
      <c r="Y33" s="24">
        <f t="shared" si="4"/>
        <v>299.63092</v>
      </c>
      <c r="Z33" s="42">
        <f t="shared" si="1"/>
        <v>90.36908</v>
      </c>
      <c r="AA33" s="40">
        <f t="shared" si="2"/>
        <v>0.7682844102564103</v>
      </c>
      <c r="AB33" s="44"/>
      <c r="AC33" s="43"/>
    </row>
    <row r="34" spans="1:29" ht="58.5" customHeight="1">
      <c r="A34" s="15"/>
      <c r="B34" s="15"/>
      <c r="C34" s="16" t="s">
        <v>47</v>
      </c>
      <c r="D34" s="15"/>
      <c r="E34" s="16" t="s">
        <v>89</v>
      </c>
      <c r="F34" s="15"/>
      <c r="G34" s="15">
        <f t="shared" si="3"/>
        <v>283</v>
      </c>
      <c r="H34" s="15">
        <v>283</v>
      </c>
      <c r="I34" s="15"/>
      <c r="J34" s="15"/>
      <c r="K34" s="15"/>
      <c r="L34" s="15"/>
      <c r="M34" s="27">
        <v>25.7468</v>
      </c>
      <c r="N34" s="27"/>
      <c r="O34" s="27"/>
      <c r="P34" s="27"/>
      <c r="Q34" s="27">
        <v>95.673029</v>
      </c>
      <c r="R34" s="27">
        <f>128.73425+2.549</f>
        <v>131.28325</v>
      </c>
      <c r="S34" s="31"/>
      <c r="T34" s="31"/>
      <c r="U34" s="31"/>
      <c r="V34" s="31"/>
      <c r="W34" s="31"/>
      <c r="X34" s="31"/>
      <c r="Y34" s="24">
        <f t="shared" si="4"/>
        <v>226.956279</v>
      </c>
      <c r="Z34" s="42">
        <f t="shared" si="1"/>
        <v>56.043721000000005</v>
      </c>
      <c r="AA34" s="40">
        <f t="shared" si="2"/>
        <v>0.8019656501766784</v>
      </c>
      <c r="AB34" s="44"/>
      <c r="AC34" s="43"/>
    </row>
    <row r="35" spans="1:29" ht="58.5" customHeight="1">
      <c r="A35" s="15"/>
      <c r="B35" s="15"/>
      <c r="C35" s="16" t="s">
        <v>90</v>
      </c>
      <c r="D35" s="15"/>
      <c r="E35" s="16" t="s">
        <v>90</v>
      </c>
      <c r="F35" s="15"/>
      <c r="G35" s="15">
        <f t="shared" si="3"/>
        <v>300</v>
      </c>
      <c r="H35" s="15">
        <v>300</v>
      </c>
      <c r="I35" s="15"/>
      <c r="J35" s="15"/>
      <c r="K35" s="15"/>
      <c r="L35" s="15"/>
      <c r="M35" s="27">
        <v>52.4972</v>
      </c>
      <c r="N35" s="27"/>
      <c r="O35" s="27">
        <v>12.756</v>
      </c>
      <c r="P35" s="27"/>
      <c r="Q35" s="27">
        <v>78.8958</v>
      </c>
      <c r="R35" s="27">
        <f>75.2958+7.1663+25.0986</f>
        <v>107.5607</v>
      </c>
      <c r="S35" s="31">
        <v>52.4972</v>
      </c>
      <c r="T35" s="31"/>
      <c r="U35" s="31"/>
      <c r="V35" s="31"/>
      <c r="W35" s="31"/>
      <c r="X35" s="31"/>
      <c r="Y35" s="24">
        <f t="shared" si="4"/>
        <v>251.70969999999997</v>
      </c>
      <c r="Z35" s="42">
        <f t="shared" si="1"/>
        <v>48.29030000000003</v>
      </c>
      <c r="AA35" s="40">
        <f t="shared" si="2"/>
        <v>0.8390323333333333</v>
      </c>
      <c r="AB35" s="44"/>
      <c r="AC35" s="43"/>
    </row>
    <row r="36" spans="1:29" ht="58.5" customHeight="1">
      <c r="A36" s="15"/>
      <c r="B36" s="15"/>
      <c r="C36" s="16" t="s">
        <v>49</v>
      </c>
      <c r="D36" s="15"/>
      <c r="E36" s="16" t="s">
        <v>91</v>
      </c>
      <c r="F36" s="15"/>
      <c r="G36" s="15">
        <f t="shared" si="3"/>
        <v>280</v>
      </c>
      <c r="H36" s="15">
        <v>280</v>
      </c>
      <c r="I36" s="15"/>
      <c r="J36" s="15"/>
      <c r="K36" s="15"/>
      <c r="L36" s="15"/>
      <c r="M36" s="27">
        <v>77.5064</v>
      </c>
      <c r="N36" s="27"/>
      <c r="O36" s="27"/>
      <c r="P36" s="27"/>
      <c r="Q36" s="27"/>
      <c r="R36" s="27">
        <f>12.2+129.1143</f>
        <v>141.31429999999997</v>
      </c>
      <c r="S36" s="31">
        <f>6.718+79.474023</f>
        <v>86.192023</v>
      </c>
      <c r="T36" s="31"/>
      <c r="U36" s="31"/>
      <c r="V36" s="31"/>
      <c r="W36" s="31"/>
      <c r="X36" s="31"/>
      <c r="Y36" s="24">
        <f t="shared" si="4"/>
        <v>227.50632299999998</v>
      </c>
      <c r="Z36" s="42">
        <f t="shared" si="1"/>
        <v>52.49367700000002</v>
      </c>
      <c r="AA36" s="40">
        <f t="shared" si="2"/>
        <v>0.8125225821428571</v>
      </c>
      <c r="AB36" s="44"/>
      <c r="AC36" s="43"/>
    </row>
    <row r="37" spans="1:29" ht="58.5" customHeight="1">
      <c r="A37" s="15">
        <v>12</v>
      </c>
      <c r="B37" s="15" t="s">
        <v>92</v>
      </c>
      <c r="C37" s="16" t="s">
        <v>93</v>
      </c>
      <c r="D37" s="15" t="s">
        <v>34</v>
      </c>
      <c r="E37" s="16" t="s">
        <v>94</v>
      </c>
      <c r="F37" s="15">
        <v>1000</v>
      </c>
      <c r="G37" s="15">
        <f t="shared" si="3"/>
        <v>830</v>
      </c>
      <c r="H37" s="15">
        <f>500+23+307</f>
        <v>830</v>
      </c>
      <c r="I37" s="15"/>
      <c r="J37" s="15"/>
      <c r="K37" s="15"/>
      <c r="L37" s="15"/>
      <c r="M37" s="27"/>
      <c r="N37" s="27"/>
      <c r="O37" s="27">
        <v>344.692354</v>
      </c>
      <c r="P37" s="27"/>
      <c r="Q37" s="27"/>
      <c r="R37" s="27">
        <v>240.984803</v>
      </c>
      <c r="S37" s="31"/>
      <c r="T37" s="31"/>
      <c r="U37" s="31"/>
      <c r="V37" s="31"/>
      <c r="W37" s="31"/>
      <c r="X37" s="31"/>
      <c r="Y37" s="24">
        <f t="shared" si="4"/>
        <v>585.6771570000001</v>
      </c>
      <c r="Z37" s="42">
        <f t="shared" si="1"/>
        <v>244.32284299999992</v>
      </c>
      <c r="AA37" s="40">
        <f t="shared" si="2"/>
        <v>0.7056351289156627</v>
      </c>
      <c r="AB37" s="44" t="s">
        <v>95</v>
      </c>
      <c r="AC37" s="43"/>
    </row>
    <row r="38" spans="1:29" ht="58.5" customHeight="1">
      <c r="A38" s="15">
        <v>13</v>
      </c>
      <c r="B38" s="15" t="s">
        <v>96</v>
      </c>
      <c r="C38" s="16" t="s">
        <v>97</v>
      </c>
      <c r="D38" s="15" t="s">
        <v>34</v>
      </c>
      <c r="E38" s="16" t="s">
        <v>98</v>
      </c>
      <c r="F38" s="15">
        <v>17500</v>
      </c>
      <c r="G38" s="15">
        <f t="shared" si="3"/>
        <v>4655.45638</v>
      </c>
      <c r="H38" s="15">
        <f>5172.035+280-108-688.57862</f>
        <v>4655.45638</v>
      </c>
      <c r="I38" s="15"/>
      <c r="J38" s="15"/>
      <c r="K38" s="15"/>
      <c r="L38" s="15"/>
      <c r="M38" s="26">
        <v>80</v>
      </c>
      <c r="N38" s="26"/>
      <c r="O38" s="26"/>
      <c r="P38" s="26"/>
      <c r="Q38" s="26"/>
      <c r="R38" s="26">
        <v>5.58</v>
      </c>
      <c r="S38" s="26">
        <v>35</v>
      </c>
      <c r="T38" s="26"/>
      <c r="U38" s="26"/>
      <c r="V38" s="26"/>
      <c r="W38" s="26"/>
      <c r="X38" s="26"/>
      <c r="Y38" s="24">
        <f t="shared" si="4"/>
        <v>40.58</v>
      </c>
      <c r="Z38" s="42">
        <f t="shared" si="1"/>
        <v>4614.87638</v>
      </c>
      <c r="AA38" s="40">
        <f t="shared" si="2"/>
        <v>0.00871665346803228</v>
      </c>
      <c r="AB38" s="44" t="s">
        <v>99</v>
      </c>
      <c r="AC38" s="43" t="s">
        <v>100</v>
      </c>
    </row>
    <row r="39" spans="1:29" ht="58.5" customHeight="1">
      <c r="A39" s="15">
        <v>14</v>
      </c>
      <c r="B39" s="15" t="s">
        <v>101</v>
      </c>
      <c r="C39" s="16" t="s">
        <v>102</v>
      </c>
      <c r="D39" s="15" t="s">
        <v>103</v>
      </c>
      <c r="E39" s="16" t="s">
        <v>104</v>
      </c>
      <c r="F39" s="15">
        <v>16100</v>
      </c>
      <c r="G39" s="15">
        <f t="shared" si="3"/>
        <v>8100</v>
      </c>
      <c r="H39" s="15">
        <v>8100</v>
      </c>
      <c r="I39" s="15"/>
      <c r="J39" s="15"/>
      <c r="K39" s="15"/>
      <c r="L39" s="15"/>
      <c r="M39" s="26"/>
      <c r="N39" s="26"/>
      <c r="O39" s="26">
        <v>7793</v>
      </c>
      <c r="P39" s="26"/>
      <c r="Q39" s="26">
        <v>307</v>
      </c>
      <c r="R39" s="26"/>
      <c r="S39" s="26"/>
      <c r="T39" s="26"/>
      <c r="U39" s="26"/>
      <c r="V39" s="26"/>
      <c r="W39" s="26"/>
      <c r="X39" s="26"/>
      <c r="Y39" s="24">
        <f t="shared" si="4"/>
        <v>8100</v>
      </c>
      <c r="Z39" s="42">
        <f t="shared" si="1"/>
        <v>0</v>
      </c>
      <c r="AA39" s="40">
        <f t="shared" si="2"/>
        <v>1</v>
      </c>
      <c r="AB39" s="44" t="s">
        <v>105</v>
      </c>
      <c r="AC39" s="43"/>
    </row>
    <row r="40" spans="1:29" ht="58.5" customHeight="1">
      <c r="A40" s="15">
        <v>15</v>
      </c>
      <c r="B40" s="15" t="s">
        <v>106</v>
      </c>
      <c r="C40" s="16" t="s">
        <v>107</v>
      </c>
      <c r="D40" s="15" t="s">
        <v>34</v>
      </c>
      <c r="E40" s="16" t="s">
        <v>108</v>
      </c>
      <c r="F40" s="15">
        <v>1336</v>
      </c>
      <c r="G40" s="15">
        <f t="shared" si="3"/>
        <v>1336</v>
      </c>
      <c r="H40" s="15">
        <f aca="true" t="shared" si="9" ref="H40:Y40">SUM(H41:H44)</f>
        <v>1336</v>
      </c>
      <c r="I40" s="15">
        <f t="shared" si="9"/>
        <v>0</v>
      </c>
      <c r="J40" s="15">
        <f t="shared" si="9"/>
        <v>0</v>
      </c>
      <c r="K40" s="15">
        <f t="shared" si="9"/>
        <v>0</v>
      </c>
      <c r="L40" s="15">
        <f t="shared" si="9"/>
        <v>0</v>
      </c>
      <c r="M40" s="15">
        <f t="shared" si="9"/>
        <v>273.5761</v>
      </c>
      <c r="N40" s="15">
        <f t="shared" si="9"/>
        <v>0</v>
      </c>
      <c r="O40" s="15">
        <f t="shared" si="9"/>
        <v>0</v>
      </c>
      <c r="P40" s="15">
        <f t="shared" si="9"/>
        <v>0</v>
      </c>
      <c r="Q40" s="15">
        <f t="shared" si="9"/>
        <v>0</v>
      </c>
      <c r="R40" s="15">
        <f t="shared" si="9"/>
        <v>755.7954689999999</v>
      </c>
      <c r="S40" s="15">
        <f t="shared" si="9"/>
        <v>220.98475</v>
      </c>
      <c r="T40" s="15">
        <f t="shared" si="9"/>
        <v>0</v>
      </c>
      <c r="U40" s="15">
        <f t="shared" si="9"/>
        <v>0</v>
      </c>
      <c r="V40" s="15">
        <f t="shared" si="9"/>
        <v>0</v>
      </c>
      <c r="W40" s="15">
        <f t="shared" si="9"/>
        <v>0</v>
      </c>
      <c r="X40" s="15">
        <f t="shared" si="9"/>
        <v>0</v>
      </c>
      <c r="Y40" s="44">
        <f t="shared" si="9"/>
        <v>976.780219</v>
      </c>
      <c r="Z40" s="42">
        <f t="shared" si="1"/>
        <v>359.219781</v>
      </c>
      <c r="AA40" s="40">
        <f t="shared" si="2"/>
        <v>0.7311229184131737</v>
      </c>
      <c r="AB40" s="44" t="s">
        <v>109</v>
      </c>
      <c r="AC40" s="43"/>
    </row>
    <row r="41" spans="1:29" ht="58.5" customHeight="1">
      <c r="A41" s="15"/>
      <c r="B41" s="15"/>
      <c r="C41" s="16" t="s">
        <v>46</v>
      </c>
      <c r="D41" s="15"/>
      <c r="E41" s="16"/>
      <c r="F41" s="15"/>
      <c r="G41" s="15">
        <f t="shared" si="3"/>
        <v>160</v>
      </c>
      <c r="H41" s="15">
        <v>160</v>
      </c>
      <c r="I41" s="15"/>
      <c r="J41" s="15"/>
      <c r="K41" s="15"/>
      <c r="L41" s="15"/>
      <c r="M41" s="26"/>
      <c r="N41" s="26"/>
      <c r="O41" s="26"/>
      <c r="P41" s="26"/>
      <c r="Q41" s="26"/>
      <c r="R41" s="26">
        <f>44.99881+43.89541</f>
        <v>88.89421999999999</v>
      </c>
      <c r="S41" s="26"/>
      <c r="T41" s="26"/>
      <c r="U41" s="26"/>
      <c r="V41" s="26"/>
      <c r="W41" s="26"/>
      <c r="X41" s="26"/>
      <c r="Y41" s="24">
        <f aca="true" t="shared" si="10" ref="Y41:Y46">SUM(N41:X41)</f>
        <v>88.89421999999999</v>
      </c>
      <c r="Z41" s="42">
        <f t="shared" si="1"/>
        <v>71.10578000000001</v>
      </c>
      <c r="AA41" s="40">
        <f t="shared" si="2"/>
        <v>0.555588875</v>
      </c>
      <c r="AB41" s="44"/>
      <c r="AC41" s="43"/>
    </row>
    <row r="42" spans="1:29" ht="58.5" customHeight="1">
      <c r="A42" s="15"/>
      <c r="B42" s="15"/>
      <c r="C42" s="16" t="s">
        <v>48</v>
      </c>
      <c r="D42" s="15"/>
      <c r="E42" s="16"/>
      <c r="F42" s="15"/>
      <c r="G42" s="15">
        <f t="shared" si="3"/>
        <v>398</v>
      </c>
      <c r="H42" s="15">
        <v>398</v>
      </c>
      <c r="I42" s="15"/>
      <c r="J42" s="15"/>
      <c r="K42" s="15"/>
      <c r="L42" s="15"/>
      <c r="M42" s="26">
        <v>113.088</v>
      </c>
      <c r="N42" s="26"/>
      <c r="O42" s="26"/>
      <c r="P42" s="26"/>
      <c r="Q42" s="26"/>
      <c r="R42" s="26">
        <f>115.087+113.087</f>
        <v>228.174</v>
      </c>
      <c r="S42" s="26">
        <v>119.3517</v>
      </c>
      <c r="T42" s="26"/>
      <c r="U42" s="26"/>
      <c r="V42" s="26"/>
      <c r="W42" s="26"/>
      <c r="X42" s="26"/>
      <c r="Y42" s="24">
        <f t="shared" si="10"/>
        <v>347.52570000000003</v>
      </c>
      <c r="Z42" s="42">
        <f t="shared" si="1"/>
        <v>50.47429999999997</v>
      </c>
      <c r="AA42" s="40">
        <f t="shared" si="2"/>
        <v>0.8731801507537689</v>
      </c>
      <c r="AB42" s="44"/>
      <c r="AC42" s="43"/>
    </row>
    <row r="43" spans="1:29" ht="58.5" customHeight="1">
      <c r="A43" s="15"/>
      <c r="B43" s="15"/>
      <c r="C43" s="16" t="s">
        <v>49</v>
      </c>
      <c r="D43" s="15"/>
      <c r="E43" s="16"/>
      <c r="F43" s="15"/>
      <c r="G43" s="15">
        <f t="shared" si="3"/>
        <v>398</v>
      </c>
      <c r="H43" s="15">
        <v>398</v>
      </c>
      <c r="I43" s="15"/>
      <c r="J43" s="15"/>
      <c r="K43" s="15"/>
      <c r="L43" s="15"/>
      <c r="M43" s="26">
        <v>100.4881</v>
      </c>
      <c r="N43" s="26"/>
      <c r="O43" s="26"/>
      <c r="P43" s="26"/>
      <c r="Q43" s="26"/>
      <c r="R43" s="26">
        <v>170.1201</v>
      </c>
      <c r="S43" s="26">
        <v>101.63305</v>
      </c>
      <c r="T43" s="26"/>
      <c r="U43" s="26"/>
      <c r="V43" s="26"/>
      <c r="W43" s="26"/>
      <c r="X43" s="26"/>
      <c r="Y43" s="24">
        <f t="shared" si="10"/>
        <v>271.75315</v>
      </c>
      <c r="Z43" s="42">
        <f t="shared" si="1"/>
        <v>126.24685</v>
      </c>
      <c r="AA43" s="40">
        <f t="shared" si="2"/>
        <v>0.6827968592964824</v>
      </c>
      <c r="AB43" s="44"/>
      <c r="AC43" s="43"/>
    </row>
    <row r="44" spans="1:29" ht="58.5" customHeight="1">
      <c r="A44" s="15"/>
      <c r="B44" s="15"/>
      <c r="C44" s="16" t="s">
        <v>50</v>
      </c>
      <c r="D44" s="15"/>
      <c r="E44" s="16"/>
      <c r="F44" s="15"/>
      <c r="G44" s="15">
        <f t="shared" si="3"/>
        <v>380</v>
      </c>
      <c r="H44" s="15">
        <v>380</v>
      </c>
      <c r="I44" s="15"/>
      <c r="J44" s="15"/>
      <c r="K44" s="15"/>
      <c r="L44" s="15"/>
      <c r="M44" s="26">
        <v>60</v>
      </c>
      <c r="N44" s="26"/>
      <c r="O44" s="26"/>
      <c r="P44" s="26"/>
      <c r="Q44" s="26"/>
      <c r="R44" s="26">
        <f>99.504839+169.10231</f>
        <v>268.607149</v>
      </c>
      <c r="S44" s="26"/>
      <c r="T44" s="26"/>
      <c r="U44" s="26"/>
      <c r="V44" s="26"/>
      <c r="W44" s="26"/>
      <c r="X44" s="26"/>
      <c r="Y44" s="24">
        <f t="shared" si="10"/>
        <v>268.607149</v>
      </c>
      <c r="Z44" s="42">
        <f t="shared" si="1"/>
        <v>111.39285100000001</v>
      </c>
      <c r="AA44" s="40">
        <f t="shared" si="2"/>
        <v>0.7068609184210526</v>
      </c>
      <c r="AB44" s="44"/>
      <c r="AC44" s="43"/>
    </row>
    <row r="45" spans="1:29" ht="58.5" customHeight="1">
      <c r="A45" s="15">
        <v>16</v>
      </c>
      <c r="B45" s="15" t="s">
        <v>110</v>
      </c>
      <c r="C45" s="16" t="s">
        <v>111</v>
      </c>
      <c r="D45" s="15" t="s">
        <v>112</v>
      </c>
      <c r="E45" s="16" t="s">
        <v>113</v>
      </c>
      <c r="F45" s="15">
        <v>1504.8</v>
      </c>
      <c r="G45" s="15">
        <f t="shared" si="3"/>
        <v>1504.8</v>
      </c>
      <c r="H45" s="15">
        <v>1504.8</v>
      </c>
      <c r="I45" s="15"/>
      <c r="J45" s="15"/>
      <c r="K45" s="15"/>
      <c r="L45" s="15"/>
      <c r="M45" s="26">
        <v>125.4</v>
      </c>
      <c r="N45" s="26"/>
      <c r="O45" s="26">
        <v>376.2</v>
      </c>
      <c r="P45" s="26">
        <v>125.4</v>
      </c>
      <c r="Q45" s="26">
        <v>125.4</v>
      </c>
      <c r="R45" s="26">
        <v>125.4</v>
      </c>
      <c r="S45" s="26">
        <f>125.4+125.4</f>
        <v>250.8</v>
      </c>
      <c r="T45" s="26"/>
      <c r="U45" s="26"/>
      <c r="V45" s="26"/>
      <c r="W45" s="26"/>
      <c r="X45" s="26"/>
      <c r="Y45" s="24">
        <f t="shared" si="10"/>
        <v>1003.2</v>
      </c>
      <c r="Z45" s="42">
        <f t="shared" si="1"/>
        <v>501.5999999999999</v>
      </c>
      <c r="AA45" s="40">
        <f t="shared" si="2"/>
        <v>0.6666666666666667</v>
      </c>
      <c r="AB45" s="44" t="s">
        <v>84</v>
      </c>
      <c r="AC45" s="43"/>
    </row>
    <row r="46" spans="1:29" ht="58.5" customHeight="1">
      <c r="A46" s="15">
        <v>17</v>
      </c>
      <c r="B46" s="15" t="s">
        <v>114</v>
      </c>
      <c r="C46" s="16" t="s">
        <v>115</v>
      </c>
      <c r="D46" s="15" t="s">
        <v>34</v>
      </c>
      <c r="E46" s="16" t="s">
        <v>116</v>
      </c>
      <c r="F46" s="15">
        <v>4300</v>
      </c>
      <c r="G46" s="15">
        <f t="shared" si="3"/>
        <v>4300</v>
      </c>
      <c r="H46" s="15">
        <v>4300</v>
      </c>
      <c r="I46" s="15"/>
      <c r="J46" s="15"/>
      <c r="K46" s="15"/>
      <c r="L46" s="15"/>
      <c r="M46" s="26"/>
      <c r="N46" s="26"/>
      <c r="O46" s="26"/>
      <c r="P46" s="26"/>
      <c r="Q46" s="26"/>
      <c r="R46" s="26">
        <f>9.6+6</f>
        <v>15.6</v>
      </c>
      <c r="S46" s="26"/>
      <c r="T46" s="26"/>
      <c r="U46" s="26"/>
      <c r="V46" s="26"/>
      <c r="W46" s="26"/>
      <c r="X46" s="26"/>
      <c r="Y46" s="24">
        <f t="shared" si="10"/>
        <v>15.6</v>
      </c>
      <c r="Z46" s="42">
        <f t="shared" si="1"/>
        <v>4284.4</v>
      </c>
      <c r="AA46" s="40">
        <f t="shared" si="2"/>
        <v>0.003627906976744186</v>
      </c>
      <c r="AB46" s="44" t="s">
        <v>109</v>
      </c>
      <c r="AC46" s="43" t="s">
        <v>117</v>
      </c>
    </row>
    <row r="47" spans="1:29" ht="58.5" customHeight="1">
      <c r="A47" s="15">
        <v>18</v>
      </c>
      <c r="B47" s="15" t="s">
        <v>118</v>
      </c>
      <c r="C47" s="16" t="s">
        <v>119</v>
      </c>
      <c r="D47" s="15" t="s">
        <v>120</v>
      </c>
      <c r="E47" s="16" t="s">
        <v>121</v>
      </c>
      <c r="F47" s="15">
        <v>11012.615</v>
      </c>
      <c r="G47" s="15">
        <f t="shared" si="3"/>
        <v>4933.5650000000005</v>
      </c>
      <c r="H47" s="15">
        <f aca="true" t="shared" si="11" ref="H47:L47">SUM(H48:H58)</f>
        <v>2590.925</v>
      </c>
      <c r="I47" s="29">
        <f>2043.75+290.43+8.46</f>
        <v>2342.64</v>
      </c>
      <c r="J47" s="15">
        <f t="shared" si="11"/>
        <v>0</v>
      </c>
      <c r="K47" s="15">
        <f t="shared" si="11"/>
        <v>0</v>
      </c>
      <c r="L47" s="15">
        <f t="shared" si="11"/>
        <v>0</v>
      </c>
      <c r="M47" s="15">
        <v>2000</v>
      </c>
      <c r="N47" s="15">
        <f aca="true" t="shared" si="12" ref="N47:Y47">SUM(N48:N58)</f>
        <v>0</v>
      </c>
      <c r="O47" s="15">
        <f t="shared" si="12"/>
        <v>0</v>
      </c>
      <c r="P47" s="15">
        <f t="shared" si="12"/>
        <v>0</v>
      </c>
      <c r="Q47" s="15">
        <f t="shared" si="12"/>
        <v>0</v>
      </c>
      <c r="R47" s="15">
        <f t="shared" si="12"/>
        <v>495.917949</v>
      </c>
      <c r="S47" s="15">
        <f t="shared" si="12"/>
        <v>2170.2091589999995</v>
      </c>
      <c r="T47" s="15">
        <f t="shared" si="12"/>
        <v>0</v>
      </c>
      <c r="U47" s="15">
        <f t="shared" si="12"/>
        <v>0</v>
      </c>
      <c r="V47" s="15">
        <f t="shared" si="12"/>
        <v>0</v>
      </c>
      <c r="W47" s="15">
        <f t="shared" si="12"/>
        <v>0</v>
      </c>
      <c r="X47" s="15">
        <f t="shared" si="12"/>
        <v>0</v>
      </c>
      <c r="Y47" s="15">
        <f t="shared" si="12"/>
        <v>2666.127108</v>
      </c>
      <c r="Z47" s="42">
        <f t="shared" si="1"/>
        <v>2267.4378920000004</v>
      </c>
      <c r="AA47" s="40">
        <f t="shared" si="2"/>
        <v>0.5404057933765948</v>
      </c>
      <c r="AB47" s="44" t="s">
        <v>122</v>
      </c>
      <c r="AC47" s="43"/>
    </row>
    <row r="48" spans="1:29" ht="58.5" customHeight="1">
      <c r="A48" s="15"/>
      <c r="B48" s="15"/>
      <c r="C48" s="16" t="s">
        <v>41</v>
      </c>
      <c r="D48" s="15"/>
      <c r="E48" s="16"/>
      <c r="F48" s="15"/>
      <c r="G48" s="15">
        <f t="shared" si="3"/>
        <v>736.64</v>
      </c>
      <c r="H48" s="15">
        <f>162.75+75</f>
        <v>237.75</v>
      </c>
      <c r="I48" s="15">
        <f>200+298.89</f>
        <v>498.89</v>
      </c>
      <c r="J48" s="15"/>
      <c r="K48" s="15"/>
      <c r="L48" s="15"/>
      <c r="M48" s="26">
        <v>200</v>
      </c>
      <c r="N48" s="26"/>
      <c r="O48" s="26"/>
      <c r="P48" s="26"/>
      <c r="Q48" s="26"/>
      <c r="R48" s="26">
        <f>0.7+8.973+16.7956</f>
        <v>26.468600000000002</v>
      </c>
      <c r="S48" s="26">
        <v>355.90897</v>
      </c>
      <c r="T48" s="26"/>
      <c r="U48" s="26"/>
      <c r="V48" s="26"/>
      <c r="W48" s="26"/>
      <c r="X48" s="26"/>
      <c r="Y48" s="24">
        <f aca="true" t="shared" si="13" ref="Y48:Y63">SUM(N48:X48)</f>
        <v>382.37757</v>
      </c>
      <c r="Z48" s="42">
        <f t="shared" si="1"/>
        <v>354.26243</v>
      </c>
      <c r="AA48" s="40">
        <f t="shared" si="2"/>
        <v>0.5190833650086881</v>
      </c>
      <c r="AB48" s="44"/>
      <c r="AC48" s="43"/>
    </row>
    <row r="49" spans="1:29" ht="58.5" customHeight="1">
      <c r="A49" s="15"/>
      <c r="B49" s="15"/>
      <c r="C49" s="16" t="s">
        <v>42</v>
      </c>
      <c r="D49" s="15"/>
      <c r="E49" s="16"/>
      <c r="F49" s="15"/>
      <c r="G49" s="15">
        <f t="shared" si="3"/>
        <v>128.1</v>
      </c>
      <c r="H49" s="15">
        <v>58.1</v>
      </c>
      <c r="I49" s="15">
        <v>70</v>
      </c>
      <c r="J49" s="15"/>
      <c r="K49" s="15"/>
      <c r="L49" s="15"/>
      <c r="M49" s="26">
        <v>127.84</v>
      </c>
      <c r="N49" s="26"/>
      <c r="O49" s="26"/>
      <c r="P49" s="26"/>
      <c r="Q49" s="26"/>
      <c r="R49" s="26">
        <v>7.644767</v>
      </c>
      <c r="S49" s="26">
        <v>75.976176</v>
      </c>
      <c r="T49" s="26"/>
      <c r="U49" s="26"/>
      <c r="V49" s="26"/>
      <c r="W49" s="26"/>
      <c r="X49" s="26"/>
      <c r="Y49" s="24">
        <f t="shared" si="13"/>
        <v>83.620943</v>
      </c>
      <c r="Z49" s="42">
        <f t="shared" si="1"/>
        <v>44.479057</v>
      </c>
      <c r="AA49" s="40">
        <f t="shared" si="2"/>
        <v>0.6527786338797814</v>
      </c>
      <c r="AB49" s="44"/>
      <c r="AC49" s="43"/>
    </row>
    <row r="50" spans="1:29" ht="58.5" customHeight="1">
      <c r="A50" s="15"/>
      <c r="B50" s="15"/>
      <c r="C50" s="16" t="s">
        <v>44</v>
      </c>
      <c r="D50" s="15"/>
      <c r="E50" s="16"/>
      <c r="F50" s="15"/>
      <c r="G50" s="15">
        <f t="shared" si="3"/>
        <v>619.88</v>
      </c>
      <c r="H50" s="15">
        <f>159.88+300</f>
        <v>459.88</v>
      </c>
      <c r="I50" s="15">
        <v>160</v>
      </c>
      <c r="J50" s="15"/>
      <c r="K50" s="15"/>
      <c r="L50" s="15"/>
      <c r="M50" s="26">
        <v>375.230182</v>
      </c>
      <c r="N50" s="26"/>
      <c r="O50" s="26"/>
      <c r="P50" s="26"/>
      <c r="Q50" s="26"/>
      <c r="R50" s="26">
        <f>13.185+22.5</f>
        <v>35.685</v>
      </c>
      <c r="S50" s="26">
        <v>465.519946</v>
      </c>
      <c r="T50" s="26"/>
      <c r="U50" s="26"/>
      <c r="V50" s="26"/>
      <c r="W50" s="26"/>
      <c r="X50" s="26"/>
      <c r="Y50" s="24">
        <f t="shared" si="13"/>
        <v>501.204946</v>
      </c>
      <c r="Z50" s="42">
        <f t="shared" si="1"/>
        <v>118.67505399999999</v>
      </c>
      <c r="AA50" s="40">
        <f t="shared" si="2"/>
        <v>0.8085515680454282</v>
      </c>
      <c r="AB50" s="44"/>
      <c r="AC50" s="43"/>
    </row>
    <row r="51" spans="1:29" ht="58.5" customHeight="1">
      <c r="A51" s="15"/>
      <c r="B51" s="15"/>
      <c r="C51" s="16" t="s">
        <v>45</v>
      </c>
      <c r="D51" s="15"/>
      <c r="E51" s="16"/>
      <c r="F51" s="15"/>
      <c r="G51" s="15">
        <f t="shared" si="3"/>
        <v>555.875</v>
      </c>
      <c r="H51" s="15">
        <f>155.875+200</f>
        <v>355.875</v>
      </c>
      <c r="I51" s="15">
        <v>200</v>
      </c>
      <c r="J51" s="15"/>
      <c r="K51" s="15"/>
      <c r="L51" s="15"/>
      <c r="M51" s="26"/>
      <c r="N51" s="26"/>
      <c r="O51" s="26"/>
      <c r="P51" s="26"/>
      <c r="Q51" s="26"/>
      <c r="R51" s="26">
        <f>3.5+13.077</f>
        <v>16.576999999999998</v>
      </c>
      <c r="S51" s="26">
        <f>131.69373+30.9968</f>
        <v>162.69053</v>
      </c>
      <c r="T51" s="26"/>
      <c r="U51" s="26"/>
      <c r="V51" s="26"/>
      <c r="W51" s="26"/>
      <c r="X51" s="26"/>
      <c r="Y51" s="24">
        <f t="shared" si="13"/>
        <v>179.26753</v>
      </c>
      <c r="Z51" s="42">
        <f t="shared" si="1"/>
        <v>376.60747000000003</v>
      </c>
      <c r="AA51" s="40">
        <f t="shared" si="2"/>
        <v>0.32249611873172923</v>
      </c>
      <c r="AB51" s="44"/>
      <c r="AC51" s="43">
        <v>30.9968</v>
      </c>
    </row>
    <row r="52" spans="1:29" ht="58.5" customHeight="1">
      <c r="A52" s="15"/>
      <c r="B52" s="15"/>
      <c r="C52" s="16" t="s">
        <v>46</v>
      </c>
      <c r="D52" s="15"/>
      <c r="E52" s="16"/>
      <c r="F52" s="15"/>
      <c r="G52" s="15">
        <f t="shared" si="3"/>
        <v>133.32</v>
      </c>
      <c r="H52" s="15">
        <v>63.32</v>
      </c>
      <c r="I52" s="15">
        <v>70</v>
      </c>
      <c r="J52" s="15"/>
      <c r="K52" s="15"/>
      <c r="L52" s="15"/>
      <c r="M52" s="26"/>
      <c r="N52" s="26"/>
      <c r="O52" s="26"/>
      <c r="P52" s="26"/>
      <c r="Q52" s="26"/>
      <c r="R52" s="26">
        <f>10.726+4</f>
        <v>14.726</v>
      </c>
      <c r="S52" s="26"/>
      <c r="T52" s="26"/>
      <c r="U52" s="26"/>
      <c r="V52" s="26"/>
      <c r="W52" s="26"/>
      <c r="X52" s="26"/>
      <c r="Y52" s="24">
        <f t="shared" si="13"/>
        <v>14.726</v>
      </c>
      <c r="Z52" s="42">
        <f t="shared" si="1"/>
        <v>118.594</v>
      </c>
      <c r="AA52" s="40">
        <f t="shared" si="2"/>
        <v>0.11045604560456047</v>
      </c>
      <c r="AB52" s="44"/>
      <c r="AC52" s="43"/>
    </row>
    <row r="53" spans="1:29" ht="58.5" customHeight="1">
      <c r="A53" s="15"/>
      <c r="B53" s="15"/>
      <c r="C53" s="16" t="s">
        <v>47</v>
      </c>
      <c r="D53" s="15"/>
      <c r="E53" s="16"/>
      <c r="F53" s="15"/>
      <c r="G53" s="15">
        <f t="shared" si="3"/>
        <v>484.9</v>
      </c>
      <c r="H53" s="15">
        <v>184.9</v>
      </c>
      <c r="I53" s="15">
        <v>300</v>
      </c>
      <c r="J53" s="15"/>
      <c r="K53" s="15"/>
      <c r="L53" s="15"/>
      <c r="M53" s="26">
        <v>177.3629</v>
      </c>
      <c r="N53" s="26"/>
      <c r="O53" s="26"/>
      <c r="P53" s="26"/>
      <c r="Q53" s="26"/>
      <c r="R53" s="26">
        <f>6.8+18.3247+30.5411</f>
        <v>55.665800000000004</v>
      </c>
      <c r="S53" s="26">
        <v>230.9992</v>
      </c>
      <c r="T53" s="26"/>
      <c r="U53" s="26"/>
      <c r="V53" s="26"/>
      <c r="W53" s="26"/>
      <c r="X53" s="26"/>
      <c r="Y53" s="24">
        <f t="shared" si="13"/>
        <v>286.665</v>
      </c>
      <c r="Z53" s="42">
        <f t="shared" si="1"/>
        <v>198.23499999999996</v>
      </c>
      <c r="AA53" s="40">
        <f t="shared" si="2"/>
        <v>0.5911837492266447</v>
      </c>
      <c r="AB53" s="44"/>
      <c r="AC53" s="43"/>
    </row>
    <row r="54" spans="1:29" ht="58.5" customHeight="1">
      <c r="A54" s="15"/>
      <c r="B54" s="15"/>
      <c r="C54" s="16" t="s">
        <v>48</v>
      </c>
      <c r="D54" s="15"/>
      <c r="E54" s="16"/>
      <c r="F54" s="15"/>
      <c r="G54" s="15">
        <f t="shared" si="3"/>
        <v>207.89</v>
      </c>
      <c r="H54" s="15">
        <v>57.89</v>
      </c>
      <c r="I54" s="15">
        <v>150</v>
      </c>
      <c r="J54" s="15"/>
      <c r="K54" s="15"/>
      <c r="L54" s="15"/>
      <c r="M54" s="26">
        <v>72.90524</v>
      </c>
      <c r="N54" s="26"/>
      <c r="O54" s="26"/>
      <c r="P54" s="26"/>
      <c r="Q54" s="26"/>
      <c r="R54" s="26">
        <f>1.85+52.55393+33.90262</f>
        <v>88.30655</v>
      </c>
      <c r="S54" s="26">
        <v>72.2592</v>
      </c>
      <c r="T54" s="26"/>
      <c r="U54" s="26"/>
      <c r="V54" s="26"/>
      <c r="W54" s="26"/>
      <c r="X54" s="26"/>
      <c r="Y54" s="24">
        <f t="shared" si="13"/>
        <v>160.56575</v>
      </c>
      <c r="Z54" s="42">
        <f t="shared" si="1"/>
        <v>47.32424999999998</v>
      </c>
      <c r="AA54" s="40">
        <f t="shared" si="2"/>
        <v>0.7723591803357546</v>
      </c>
      <c r="AB54" s="44"/>
      <c r="AC54" s="43"/>
    </row>
    <row r="55" spans="1:29" ht="58.5" customHeight="1">
      <c r="A55" s="15"/>
      <c r="B55" s="15"/>
      <c r="C55" s="16" t="s">
        <v>49</v>
      </c>
      <c r="D55" s="15"/>
      <c r="E55" s="16"/>
      <c r="F55" s="15"/>
      <c r="G55" s="15">
        <f t="shared" si="3"/>
        <v>852</v>
      </c>
      <c r="H55" s="15">
        <v>352</v>
      </c>
      <c r="I55" s="15">
        <v>500</v>
      </c>
      <c r="J55" s="15"/>
      <c r="K55" s="15"/>
      <c r="L55" s="15"/>
      <c r="M55" s="26"/>
      <c r="N55" s="26"/>
      <c r="O55" s="26"/>
      <c r="P55" s="26"/>
      <c r="Q55" s="26"/>
      <c r="R55" s="26">
        <v>28.2</v>
      </c>
      <c r="S55" s="26">
        <v>597.971648</v>
      </c>
      <c r="T55" s="26"/>
      <c r="U55" s="26"/>
      <c r="V55" s="26"/>
      <c r="W55" s="26"/>
      <c r="X55" s="26"/>
      <c r="Y55" s="24">
        <f t="shared" si="13"/>
        <v>626.171648</v>
      </c>
      <c r="Z55" s="42">
        <f t="shared" si="1"/>
        <v>225.828352</v>
      </c>
      <c r="AA55" s="40">
        <f t="shared" si="2"/>
        <v>0.7349432488262911</v>
      </c>
      <c r="AB55" s="44"/>
      <c r="AC55" s="43"/>
    </row>
    <row r="56" spans="1:29" ht="58.5" customHeight="1">
      <c r="A56" s="15"/>
      <c r="B56" s="15"/>
      <c r="C56" s="16" t="s">
        <v>50</v>
      </c>
      <c r="D56" s="15"/>
      <c r="E56" s="16"/>
      <c r="F56" s="15"/>
      <c r="G56" s="15">
        <f t="shared" si="3"/>
        <v>304.8</v>
      </c>
      <c r="H56" s="15">
        <v>154.8</v>
      </c>
      <c r="I56" s="15">
        <v>150</v>
      </c>
      <c r="J56" s="15"/>
      <c r="K56" s="15"/>
      <c r="L56" s="15"/>
      <c r="M56" s="26">
        <v>74.7</v>
      </c>
      <c r="N56" s="26"/>
      <c r="O56" s="26"/>
      <c r="P56" s="26"/>
      <c r="Q56" s="26"/>
      <c r="R56" s="26">
        <f>5.1+124.7088</f>
        <v>129.8088</v>
      </c>
      <c r="S56" s="26">
        <v>88.41993</v>
      </c>
      <c r="T56" s="26"/>
      <c r="U56" s="26"/>
      <c r="V56" s="26"/>
      <c r="W56" s="26"/>
      <c r="X56" s="26"/>
      <c r="Y56" s="24">
        <f t="shared" si="13"/>
        <v>218.22872999999998</v>
      </c>
      <c r="Z56" s="42">
        <f t="shared" si="1"/>
        <v>86.57127000000003</v>
      </c>
      <c r="AA56" s="40">
        <f t="shared" si="2"/>
        <v>0.7159735236220471</v>
      </c>
      <c r="AB56" s="44"/>
      <c r="AC56" s="43"/>
    </row>
    <row r="57" spans="1:29" ht="58.5" customHeight="1">
      <c r="A57" s="15"/>
      <c r="B57" s="15"/>
      <c r="C57" s="16" t="s">
        <v>51</v>
      </c>
      <c r="D57" s="15"/>
      <c r="E57" s="16"/>
      <c r="F57" s="15"/>
      <c r="G57" s="15">
        <f t="shared" si="3"/>
        <v>688.36</v>
      </c>
      <c r="H57" s="15">
        <f>198.36+290</f>
        <v>488.36</v>
      </c>
      <c r="I57" s="15">
        <v>200</v>
      </c>
      <c r="J57" s="15"/>
      <c r="K57" s="15"/>
      <c r="L57" s="15"/>
      <c r="M57" s="26">
        <v>528</v>
      </c>
      <c r="N57" s="26"/>
      <c r="O57" s="26"/>
      <c r="P57" s="26"/>
      <c r="Q57" s="26"/>
      <c r="R57" s="26">
        <f>2.48+16.7</f>
        <v>19.18</v>
      </c>
      <c r="S57" s="26">
        <f>78.9914</f>
        <v>78.9914</v>
      </c>
      <c r="T57" s="26"/>
      <c r="U57" s="26"/>
      <c r="V57" s="26"/>
      <c r="W57" s="26"/>
      <c r="X57" s="26"/>
      <c r="Y57" s="24">
        <f t="shared" si="13"/>
        <v>98.1714</v>
      </c>
      <c r="Z57" s="42">
        <f t="shared" si="1"/>
        <v>590.1886</v>
      </c>
      <c r="AA57" s="40">
        <f t="shared" si="2"/>
        <v>0.1426163635307107</v>
      </c>
      <c r="AB57" s="45"/>
      <c r="AC57" s="44">
        <v>82.6852</v>
      </c>
    </row>
    <row r="58" spans="1:29" ht="58.5" customHeight="1">
      <c r="A58" s="15"/>
      <c r="B58" s="15"/>
      <c r="C58" s="16" t="s">
        <v>52</v>
      </c>
      <c r="D58" s="15"/>
      <c r="E58" s="16"/>
      <c r="F58" s="15"/>
      <c r="G58" s="15">
        <f t="shared" si="3"/>
        <v>221.8</v>
      </c>
      <c r="H58" s="15">
        <f>43.05+135</f>
        <v>178.05</v>
      </c>
      <c r="I58" s="15">
        <v>43.75</v>
      </c>
      <c r="J58" s="15"/>
      <c r="K58" s="15"/>
      <c r="L58" s="15"/>
      <c r="M58" s="26"/>
      <c r="N58" s="26"/>
      <c r="O58" s="26"/>
      <c r="P58" s="26"/>
      <c r="Q58" s="26"/>
      <c r="R58" s="26">
        <f>27.180432+12.521+19.68+14.274</f>
        <v>73.65543199999999</v>
      </c>
      <c r="S58" s="26">
        <f>25.1639+16.308259</f>
        <v>41.472159000000005</v>
      </c>
      <c r="T58" s="26"/>
      <c r="U58" s="26"/>
      <c r="V58" s="26"/>
      <c r="W58" s="26"/>
      <c r="X58" s="26"/>
      <c r="Y58" s="24">
        <f t="shared" si="13"/>
        <v>115.127591</v>
      </c>
      <c r="Z58" s="42">
        <f t="shared" si="1"/>
        <v>106.67240900000002</v>
      </c>
      <c r="AA58" s="40">
        <f t="shared" si="2"/>
        <v>0.5190603742110008</v>
      </c>
      <c r="AB58" s="44"/>
      <c r="AC58" s="43"/>
    </row>
    <row r="59" spans="1:29" ht="58.5" customHeight="1">
      <c r="A59" s="15">
        <v>19</v>
      </c>
      <c r="B59" s="15" t="s">
        <v>123</v>
      </c>
      <c r="C59" s="16" t="s">
        <v>124</v>
      </c>
      <c r="D59" s="15" t="s">
        <v>120</v>
      </c>
      <c r="E59" s="16" t="s">
        <v>125</v>
      </c>
      <c r="F59" s="15">
        <v>1790.37</v>
      </c>
      <c r="G59" s="15">
        <f t="shared" si="3"/>
        <v>1790.37</v>
      </c>
      <c r="H59" s="15">
        <v>1790.37</v>
      </c>
      <c r="I59" s="15"/>
      <c r="J59" s="15"/>
      <c r="K59" s="15"/>
      <c r="L59" s="15"/>
      <c r="M59" s="26">
        <v>476</v>
      </c>
      <c r="N59" s="26"/>
      <c r="O59" s="26"/>
      <c r="P59" s="26"/>
      <c r="Q59" s="26"/>
      <c r="R59" s="26">
        <f>8.97+127.60333+44.04346</f>
        <v>180.61679</v>
      </c>
      <c r="S59" s="26">
        <v>441.08645</v>
      </c>
      <c r="T59" s="26"/>
      <c r="U59" s="26"/>
      <c r="V59" s="26"/>
      <c r="W59" s="26"/>
      <c r="X59" s="26"/>
      <c r="Y59" s="24">
        <f t="shared" si="13"/>
        <v>621.70324</v>
      </c>
      <c r="Z59" s="42">
        <f t="shared" si="1"/>
        <v>1168.6667599999998</v>
      </c>
      <c r="AA59" s="40">
        <f t="shared" si="2"/>
        <v>0.34724846819372535</v>
      </c>
      <c r="AB59" s="44" t="s">
        <v>122</v>
      </c>
      <c r="AC59" s="43"/>
    </row>
    <row r="60" spans="1:29" ht="58.5" customHeight="1">
      <c r="A60" s="15">
        <v>20</v>
      </c>
      <c r="B60" s="15" t="s">
        <v>126</v>
      </c>
      <c r="C60" s="16" t="s">
        <v>127</v>
      </c>
      <c r="D60" s="15" t="s">
        <v>120</v>
      </c>
      <c r="E60" s="16" t="s">
        <v>128</v>
      </c>
      <c r="F60" s="15">
        <v>1983.51</v>
      </c>
      <c r="G60" s="15">
        <f t="shared" si="3"/>
        <v>1983.51</v>
      </c>
      <c r="H60" s="15">
        <v>1983.51</v>
      </c>
      <c r="I60" s="15"/>
      <c r="J60" s="15"/>
      <c r="K60" s="15"/>
      <c r="L60" s="15"/>
      <c r="M60" s="26">
        <v>732</v>
      </c>
      <c r="N60" s="26"/>
      <c r="O60" s="26"/>
      <c r="P60" s="26"/>
      <c r="Q60" s="26"/>
      <c r="R60" s="26">
        <f>13.08+154.15825+83.056018</f>
        <v>250.29426800000002</v>
      </c>
      <c r="S60" s="26">
        <v>267.9237</v>
      </c>
      <c r="T60" s="26"/>
      <c r="U60" s="26"/>
      <c r="V60" s="26"/>
      <c r="W60" s="26"/>
      <c r="X60" s="26"/>
      <c r="Y60" s="24">
        <f t="shared" si="13"/>
        <v>518.217968</v>
      </c>
      <c r="Z60" s="42">
        <f t="shared" si="1"/>
        <v>1465.2920319999998</v>
      </c>
      <c r="AA60" s="40">
        <f t="shared" si="2"/>
        <v>0.2612630982450303</v>
      </c>
      <c r="AB60" s="44" t="s">
        <v>122</v>
      </c>
      <c r="AC60" s="43"/>
    </row>
    <row r="61" spans="1:29" ht="58.5" customHeight="1">
      <c r="A61" s="15">
        <v>21</v>
      </c>
      <c r="B61" s="15" t="s">
        <v>129</v>
      </c>
      <c r="C61" s="16" t="s">
        <v>130</v>
      </c>
      <c r="D61" s="15" t="s">
        <v>131</v>
      </c>
      <c r="E61" s="16" t="s">
        <v>132</v>
      </c>
      <c r="F61" s="15">
        <v>2100</v>
      </c>
      <c r="G61" s="15">
        <f t="shared" si="3"/>
        <v>2100</v>
      </c>
      <c r="H61" s="15">
        <v>2100</v>
      </c>
      <c r="I61" s="15"/>
      <c r="J61" s="15"/>
      <c r="K61" s="15"/>
      <c r="L61" s="15"/>
      <c r="M61" s="26"/>
      <c r="N61" s="26"/>
      <c r="O61" s="26"/>
      <c r="P61" s="26">
        <f>431.4+221.4-0.9</f>
        <v>651.9</v>
      </c>
      <c r="Q61" s="26">
        <v>106.5</v>
      </c>
      <c r="R61" s="26">
        <v>24</v>
      </c>
      <c r="S61" s="26">
        <v>431.4</v>
      </c>
      <c r="T61" s="26"/>
      <c r="U61" s="26"/>
      <c r="V61" s="26"/>
      <c r="W61" s="26"/>
      <c r="X61" s="26"/>
      <c r="Y61" s="24">
        <f t="shared" si="13"/>
        <v>1213.8</v>
      </c>
      <c r="Z61" s="42">
        <f t="shared" si="1"/>
        <v>886.2</v>
      </c>
      <c r="AA61" s="40">
        <f t="shared" si="2"/>
        <v>0.578</v>
      </c>
      <c r="AB61" s="44" t="s">
        <v>133</v>
      </c>
      <c r="AC61" s="43"/>
    </row>
    <row r="62" spans="1:29" ht="58.5" customHeight="1">
      <c r="A62" s="15">
        <v>22</v>
      </c>
      <c r="B62" s="15"/>
      <c r="C62" s="16" t="s">
        <v>134</v>
      </c>
      <c r="D62" s="15" t="s">
        <v>131</v>
      </c>
      <c r="E62" s="16" t="s">
        <v>135</v>
      </c>
      <c r="F62" s="15">
        <v>390</v>
      </c>
      <c r="G62" s="15">
        <f t="shared" si="3"/>
        <v>390</v>
      </c>
      <c r="H62" s="15">
        <v>390</v>
      </c>
      <c r="I62" s="15"/>
      <c r="J62" s="15"/>
      <c r="K62" s="15"/>
      <c r="L62" s="15"/>
      <c r="M62" s="26">
        <v>100</v>
      </c>
      <c r="N62" s="26"/>
      <c r="O62" s="26"/>
      <c r="P62" s="26"/>
      <c r="Q62" s="26"/>
      <c r="R62" s="26">
        <v>2</v>
      </c>
      <c r="S62" s="26"/>
      <c r="T62" s="26"/>
      <c r="U62" s="26"/>
      <c r="V62" s="26"/>
      <c r="W62" s="26"/>
      <c r="X62" s="26"/>
      <c r="Y62" s="24">
        <f t="shared" si="13"/>
        <v>2</v>
      </c>
      <c r="Z62" s="42">
        <f t="shared" si="1"/>
        <v>388</v>
      </c>
      <c r="AA62" s="40">
        <f t="shared" si="2"/>
        <v>0.005128205128205128</v>
      </c>
      <c r="AB62" s="44" t="s">
        <v>136</v>
      </c>
      <c r="AC62" s="43"/>
    </row>
    <row r="63" spans="1:29" ht="58.5" customHeight="1">
      <c r="A63" s="15">
        <v>23</v>
      </c>
      <c r="B63" s="15" t="s">
        <v>137</v>
      </c>
      <c r="C63" s="16" t="s">
        <v>138</v>
      </c>
      <c r="D63" s="15" t="s">
        <v>131</v>
      </c>
      <c r="E63" s="16" t="s">
        <v>139</v>
      </c>
      <c r="F63" s="15">
        <v>390</v>
      </c>
      <c r="G63" s="15">
        <f t="shared" si="3"/>
        <v>380.16</v>
      </c>
      <c r="H63" s="15">
        <v>380.16</v>
      </c>
      <c r="I63" s="15"/>
      <c r="J63" s="15"/>
      <c r="K63" s="15"/>
      <c r="L63" s="15"/>
      <c r="M63" s="26"/>
      <c r="N63" s="26"/>
      <c r="O63" s="26"/>
      <c r="P63" s="26"/>
      <c r="Q63" s="26"/>
      <c r="R63" s="26">
        <v>380.16</v>
      </c>
      <c r="S63" s="26"/>
      <c r="T63" s="26"/>
      <c r="U63" s="26"/>
      <c r="V63" s="26"/>
      <c r="W63" s="26"/>
      <c r="X63" s="26"/>
      <c r="Y63" s="24">
        <f t="shared" si="13"/>
        <v>380.16</v>
      </c>
      <c r="Z63" s="42">
        <f t="shared" si="1"/>
        <v>0</v>
      </c>
      <c r="AA63" s="40">
        <f t="shared" si="2"/>
        <v>1</v>
      </c>
      <c r="AB63" s="44" t="s">
        <v>140</v>
      </c>
      <c r="AC63" s="43"/>
    </row>
  </sheetData>
  <sheetProtection/>
  <mergeCells count="26">
    <mergeCell ref="A1:AC1"/>
    <mergeCell ref="A2:D2"/>
    <mergeCell ref="G3:L3"/>
    <mergeCell ref="A3:A4"/>
    <mergeCell ref="B3:B4"/>
    <mergeCell ref="C3:C4"/>
    <mergeCell ref="D3:D4"/>
    <mergeCell ref="E3:E4"/>
    <mergeCell ref="F3:F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1">
    <dataValidation allowBlank="1" showInputMessage="1" showErrorMessage="1" sqref="D1:D2 D3:D4"/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2022-12-29T09:58:32Z</dcterms:created>
  <dcterms:modified xsi:type="dcterms:W3CDTF">2022-12-30T02:31:26Z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